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&amp;L — Base" sheetId="2" state="visible" r:id="rId4"/>
    <sheet name="P&amp;L — Conservative" sheetId="3" state="visible" r:id="rId5"/>
    <sheet name="P&amp;L — Aggressive" sheetId="4" state="visible" r:id="rId6"/>
    <sheet name="Cash Flow — Base" sheetId="5" state="visible" r:id="rId7"/>
    <sheet name="Scenario Summary" sheetId="6" state="visible" r:id="rId8"/>
    <sheet name="Unit Economics — Base" sheetId="7" state="visible" r:id="rId9"/>
    <sheet name="Sensitivity Analysi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<sst xmlns="http://schemas.openxmlformats.org/spreadsheetml/2006/main" count="386" uniqueCount="191">
  <si>
    <t xml:space="preserve">Anton Payments — Financial Model Assumptions</t>
  </si>
  <si>
    <t xml:space="preserve">AP-FIN-001 v2.0 | Confidential</t>
  </si>
  <si>
    <t xml:space="preserve">REVENUE ASSUMPTIONS</t>
  </si>
  <si>
    <t xml:space="preserve">Parameter</t>
  </si>
  <si>
    <t xml:space="preserve">Conservative</t>
  </si>
  <si>
    <t xml:space="preserve">Base</t>
  </si>
  <si>
    <t xml:space="preserve">Aggressive</t>
  </si>
  <si>
    <t xml:space="preserve">Y1 Clients (EOY)</t>
  </si>
  <si>
    <t xml:space="preserve">Y2 Clients (EOY)</t>
  </si>
  <si>
    <t xml:space="preserve">Y3 Clients (EOY)</t>
  </si>
  <si>
    <t xml:space="preserve">Y4 Clients (EOY)</t>
  </si>
  <si>
    <t xml:space="preserve">Y5 Clients (EOY)</t>
  </si>
  <si>
    <t xml:space="preserve">Avg Monthly Volume per Client ($)</t>
  </si>
  <si>
    <t xml:space="preserve">Y1 Vol Growth per Client (Mo %)</t>
  </si>
  <si>
    <t xml:space="preserve">Y2 Vol Growth per Client (Mo %)</t>
  </si>
  <si>
    <t xml:space="preserve">Y3+ Vol Growth per Client (Qtr %)</t>
  </si>
  <si>
    <t xml:space="preserve">Avg Transaction Size ($)</t>
  </si>
  <si>
    <t xml:space="preserve">Y1 Blended Take Rate</t>
  </si>
  <si>
    <t xml:space="preserve">Y2 Blended Take Rate</t>
  </si>
  <si>
    <t xml:space="preserve">Y3 Blended Take Rate</t>
  </si>
  <si>
    <t xml:space="preserve">Y4 Blended Take Rate</t>
  </si>
  <si>
    <t xml:space="preserve">Y5 Blended Take Rate</t>
  </si>
  <si>
    <t xml:space="preserve">FX Revenue (% of Txn Rev)</t>
  </si>
  <si>
    <t xml:space="preserve">Premium Tier Rev (% Txn, Y2+)</t>
  </si>
  <si>
    <t xml:space="preserve">COST ASSUMPTIONS</t>
  </si>
  <si>
    <t xml:space="preserve">Y1 COGS (% of Revenue)</t>
  </si>
  <si>
    <t xml:space="preserve">Y2 COGS (% of Revenue)</t>
  </si>
  <si>
    <t xml:space="preserve">Y3 COGS (% of Revenue)</t>
  </si>
  <si>
    <t xml:space="preserve">Y4 COGS (% of Revenue)</t>
  </si>
  <si>
    <t xml:space="preserve">Y5 COGS (% of Revenue)</t>
  </si>
  <si>
    <t xml:space="preserve">Y1 Monthly Team ($)</t>
  </si>
  <si>
    <t xml:space="preserve">Y2 Monthly Team ($)</t>
  </si>
  <si>
    <t xml:space="preserve">Y3 Monthly Team ($)</t>
  </si>
  <si>
    <t xml:space="preserve">Y4 Monthly Team ($)</t>
  </si>
  <si>
    <t xml:space="preserve">Y5 Monthly Team ($)</t>
  </si>
  <si>
    <t xml:space="preserve">Y1 Monthly Infra ($)</t>
  </si>
  <si>
    <t xml:space="preserve">Y2 Monthly Infra ($)</t>
  </si>
  <si>
    <t xml:space="preserve">Y3 Monthly Infra ($)</t>
  </si>
  <si>
    <t xml:space="preserve">Y4 Monthly Infra ($)</t>
  </si>
  <si>
    <t xml:space="preserve">Y5 Monthly Infra ($)</t>
  </si>
  <si>
    <t xml:space="preserve">Y1 Monthly Compliance ($)</t>
  </si>
  <si>
    <t xml:space="preserve">Y2 Monthly Compliance ($)</t>
  </si>
  <si>
    <t xml:space="preserve">Y3 Monthly Compliance ($)</t>
  </si>
  <si>
    <t xml:space="preserve">Y4 Monthly Compliance ($)</t>
  </si>
  <si>
    <t xml:space="preserve">Y5 Monthly Compliance ($)</t>
  </si>
  <si>
    <t xml:space="preserve">Y1 Monthly Marketing ($)</t>
  </si>
  <si>
    <t xml:space="preserve">Y2 Monthly Marketing ($)</t>
  </si>
  <si>
    <t xml:space="preserve">Y3 Monthly Marketing ($)</t>
  </si>
  <si>
    <t xml:space="preserve">Y4 Monthly Marketing ($)</t>
  </si>
  <si>
    <t xml:space="preserve">Y5 Monthly Marketing ($)</t>
  </si>
  <si>
    <t xml:space="preserve">Y1 Monthly Other ($)</t>
  </si>
  <si>
    <t xml:space="preserve">Y2 Monthly Other ($)</t>
  </si>
  <si>
    <t xml:space="preserve">Y3 Monthly Other ($)</t>
  </si>
  <si>
    <t xml:space="preserve">Y4 Monthly Other ($)</t>
  </si>
  <si>
    <t xml:space="preserve">Y5 Monthly Other ($)</t>
  </si>
  <si>
    <t xml:space="preserve">FUNDING ASSUMPTIONS</t>
  </si>
  <si>
    <t xml:space="preserve">Seed Raise ($)</t>
  </si>
  <si>
    <t xml:space="preserve">Pre-Money Cap ($)</t>
  </si>
  <si>
    <t xml:space="preserve">Starting Cash ($)</t>
  </si>
  <si>
    <t xml:space="preserve">UNIT ECONOMICS</t>
  </si>
  <si>
    <t xml:space="preserve">Y1 Blended CAC ($)</t>
  </si>
  <si>
    <t xml:space="preserve">Y2 Blended CAC ($)</t>
  </si>
  <si>
    <t xml:space="preserve">Y3 Blended CAC ($)</t>
  </si>
  <si>
    <t xml:space="preserve">Y4 Blended CAC ($)</t>
  </si>
  <si>
    <t xml:space="preserve">Y5 Blended CAC ($)</t>
  </si>
  <si>
    <t xml:space="preserve">Annual Churn Rate</t>
  </si>
  <si>
    <t xml:space="preserve">Net Revenue Retention</t>
  </si>
  <si>
    <t xml:space="preserve">Anton Payments — P&amp;L (Base)</t>
  </si>
  <si>
    <t xml:space="preserve">Period</t>
  </si>
  <si>
    <t xml:space="preserve">Y1 M1</t>
  </si>
  <si>
    <t xml:space="preserve">Y1 M2</t>
  </si>
  <si>
    <t xml:space="preserve">Y1 M3</t>
  </si>
  <si>
    <t xml:space="preserve">Y1 M4</t>
  </si>
  <si>
    <t xml:space="preserve">Y1 M5</t>
  </si>
  <si>
    <t xml:space="preserve">Y1 M6</t>
  </si>
  <si>
    <t xml:space="preserve">Y1 M7</t>
  </si>
  <si>
    <t xml:space="preserve">Y1 M8</t>
  </si>
  <si>
    <t xml:space="preserve">Y1 M9</t>
  </si>
  <si>
    <t xml:space="preserve">Y1 M10</t>
  </si>
  <si>
    <t xml:space="preserve">Y1 M11</t>
  </si>
  <si>
    <t xml:space="preserve">Y1 M12</t>
  </si>
  <si>
    <t xml:space="preserve">Y2 M1</t>
  </si>
  <si>
    <t xml:space="preserve">Y2 M2</t>
  </si>
  <si>
    <t xml:space="preserve">Y2 M3</t>
  </si>
  <si>
    <t xml:space="preserve">Y2 M4</t>
  </si>
  <si>
    <t xml:space="preserve">Y2 M5</t>
  </si>
  <si>
    <t xml:space="preserve">Y2 M6</t>
  </si>
  <si>
    <t xml:space="preserve">Y2 M7</t>
  </si>
  <si>
    <t xml:space="preserve">Y2 M8</t>
  </si>
  <si>
    <t xml:space="preserve">Y2 M9</t>
  </si>
  <si>
    <t xml:space="preserve">Y2 M10</t>
  </si>
  <si>
    <t xml:space="preserve">Y2 M11</t>
  </si>
  <si>
    <t xml:space="preserve">Y2 M12</t>
  </si>
  <si>
    <t xml:space="preserve">Y3 Q1</t>
  </si>
  <si>
    <t xml:space="preserve">Y3 Q2</t>
  </si>
  <si>
    <t xml:space="preserve">Y3 Q3</t>
  </si>
  <si>
    <t xml:space="preserve">Y3 Q4</t>
  </si>
  <si>
    <t xml:space="preserve">Y4 Q1</t>
  </si>
  <si>
    <t xml:space="preserve">Y4 Q2</t>
  </si>
  <si>
    <t xml:space="preserve">Y4 Q3</t>
  </si>
  <si>
    <t xml:space="preserve">Y4 Q4</t>
  </si>
  <si>
    <t xml:space="preserve">Y5 Q1</t>
  </si>
  <si>
    <t xml:space="preserve">Y5 Q2</t>
  </si>
  <si>
    <t xml:space="preserve">Y5 Q3</t>
  </si>
  <si>
    <t xml:space="preserve">Y5 Q4</t>
  </si>
  <si>
    <t xml:space="preserve">Y1 Total</t>
  </si>
  <si>
    <t xml:space="preserve">Y2 Total</t>
  </si>
  <si>
    <t xml:space="preserve">Y3 Total</t>
  </si>
  <si>
    <t xml:space="preserve">Y4 Total</t>
  </si>
  <si>
    <t xml:space="preserve">Y5 Total</t>
  </si>
  <si>
    <t xml:space="preserve">REVENUE</t>
  </si>
  <si>
    <t xml:space="preserve">Active Clients</t>
  </si>
  <si>
    <t xml:space="preserve">Volume per Client ($)</t>
  </si>
  <si>
    <t xml:space="preserve">Total Payment Volume ($)</t>
  </si>
  <si>
    <t xml:space="preserve">Transaction Revenue ($)</t>
  </si>
  <si>
    <t xml:space="preserve">FX Revenue ($)</t>
  </si>
  <si>
    <t xml:space="preserve">Premium Tier Revenue ($)</t>
  </si>
  <si>
    <t xml:space="preserve">Total Revenue ($)</t>
  </si>
  <si>
    <t xml:space="preserve">COST OF GOODS SOLD</t>
  </si>
  <si>
    <t xml:space="preserve">COGS ($)</t>
  </si>
  <si>
    <t xml:space="preserve">Gross Profit ($)</t>
  </si>
  <si>
    <t xml:space="preserve">Gross Margin (%)</t>
  </si>
  <si>
    <t xml:space="preserve">OPERATING EXPENSES</t>
  </si>
  <si>
    <t xml:space="preserve">Team ($)</t>
  </si>
  <si>
    <t xml:space="preserve">Infrastructure ($)</t>
  </si>
  <si>
    <t xml:space="preserve">Compliance &amp; Legal ($)</t>
  </si>
  <si>
    <t xml:space="preserve">Marketing &amp; BD ($)</t>
  </si>
  <si>
    <t xml:space="preserve">Other ($)</t>
  </si>
  <si>
    <t xml:space="preserve">Total OpEx ($)</t>
  </si>
  <si>
    <t xml:space="preserve">EBITDA ($)</t>
  </si>
  <si>
    <t xml:space="preserve">EBITDA Margin (%)</t>
  </si>
  <si>
    <t xml:space="preserve">Anton Payments — P&amp;L (Conservative)</t>
  </si>
  <si>
    <t xml:space="preserve">Anton Payments — P&amp;L (Aggressive)</t>
  </si>
  <si>
    <t xml:space="preserve">Anton Payments — Cash Flow (Base Case)</t>
  </si>
  <si>
    <t xml:space="preserve">CASH FLOW</t>
  </si>
  <si>
    <t xml:space="preserve">Seed Funding ($)</t>
  </si>
  <si>
    <t xml:space="preserve">Net Cash Movement ($)</t>
  </si>
  <si>
    <t xml:space="preserve">Cumulative Cash ($)</t>
  </si>
  <si>
    <t xml:space="preserve">Burn Rate (if negative) ($)</t>
  </si>
  <si>
    <t xml:space="preserve">Anton Payments — Annual Scenario Summary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</si>
  <si>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</si>
  <si>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</si>
  <si>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</si>
  <si>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</si>
  <si>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</si>
  <si>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</si>
  <si>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BASE CASE</t>
  </si>
  <si>
    <t xml:space="preserve">Clients (EOY)</t>
  </si>
  <si>
    <t xml:space="preserve">CONSERVATIVE</t>
  </si>
  <si>
    <t xml:space="preserve">AGGRESSIVE</t>
  </si>
  <si>
    <t xml:space="preserve">Anton Payments — Unit Economics (Base Case)</t>
  </si>
  <si>
    <t xml:space="preserve">REVENUE METRICS</t>
  </si>
  <si>
    <t xml:space="preserve">Annual TPV ($)</t>
  </si>
  <si>
    <t xml:space="preserve">Annual Revenue ($)</t>
  </si>
  <si>
    <t xml:space="preserve">CLIENT METRICS</t>
  </si>
  <si>
    <t xml:space="preserve">New Clients Added</t>
  </si>
  <si>
    <t xml:space="preserve">Annual Rev per Client ($)</t>
  </si>
  <si>
    <t xml:space="preserve">Monthly Rev per Client ($)</t>
  </si>
  <si>
    <t xml:space="preserve">ACQUISITION METRICS</t>
  </si>
  <si>
    <t xml:space="preserve">Blended CAC ($)</t>
  </si>
  <si>
    <t xml:space="preserve">Total CAC Spend ($)</t>
  </si>
  <si>
    <t xml:space="preserve">5-Year LTV ($)</t>
  </si>
  <si>
    <t xml:space="preserve">LTV:CAC Ratio</t>
  </si>
  <si>
    <t xml:space="preserve">CAC Payback (Months)</t>
  </si>
  <si>
    <t xml:space="preserve">Anton Payments — Sensitivity Analysis</t>
  </si>
  <si>
    <t xml:space="preserve">TABLE 1: Y3 Revenue by Client Count × Avg Monthly Volume</t>
  </si>
  <si>
    <t xml:space="preserve">Clients \ Vol ($K)</t>
  </si>
  <si>
    <t xml:space="preserve">$200K</t>
  </si>
  <si>
    <t xml:space="preserve">$250K</t>
  </si>
  <si>
    <t xml:space="preserve">$300K</t>
  </si>
  <si>
    <t xml:space="preserve">$350K</t>
  </si>
  <si>
    <t xml:space="preserve">$400K</t>
  </si>
  <si>
    <t xml:space="preserve">TABLE 2: Y3 Revenue by Take Rate × Annual TPV</t>
  </si>
  <si>
    <t xml:space="preserve">Take Rate \ TPV</t>
  </si>
  <si>
    <t xml:space="preserve">$100M</t>
  </si>
  <si>
    <t xml:space="preserve">$150M</t>
  </si>
  <si>
    <t xml:space="preserve">$200M</t>
  </si>
  <si>
    <t xml:space="preserve">$250M</t>
  </si>
  <si>
    <t xml:space="preserve">$300M</t>
  </si>
  <si>
    <t xml:space="preserve">TABLE 3: Runway (Months) by Burn Rate × Raise Amount</t>
  </si>
  <si>
    <t xml:space="preserve">Burn ($K) \ Raise</t>
  </si>
  <si>
    <t xml:space="preserve">$1.0M</t>
  </si>
  <si>
    <t xml:space="preserve">$1.25M</t>
  </si>
  <si>
    <t xml:space="preserve">$1.5M</t>
  </si>
  <si>
    <t xml:space="preserve">$1.75M</t>
  </si>
  <si>
    <t xml:space="preserve">$2.0M</t>
  </si>
  <si>
    <t xml:space="preserve">$60K</t>
  </si>
  <si>
    <t xml:space="preserve">$70K</t>
  </si>
  <si>
    <t xml:space="preserve">$80K</t>
  </si>
  <si>
    <t xml:space="preserve">$90K</t>
  </si>
  <si>
    <t xml:space="preserve">$100K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</si>
</sst>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\$#,##0;&quot;($&quot;#,##0\);\-"/>
    <numFmt numFmtId="167" formatCode="0.0%"/>
    <numFmt numFmtId="168" formatCode="0.0\x"/>
    <numFmt numFmtId="169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B0E17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11"/>
      <color rgb="FF0B0E1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1B4FD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11827"/>
        <bgColor rgb="FF0B0E17"/>
      </patternFill>
    </fill>
    <fill>
      <patternFill patternType="solid">
        <fgColor rgb="FFFFFF00"/>
        <bgColor rgb="FFFFFF00"/>
      </patternFill>
    </fill>
    <fill>
      <patternFill patternType="solid">
        <fgColor rgb="FFEEF4FF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11827"/>
      </bottom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F4FF"/>
      <rgbColor rgb="FF660066"/>
      <rgbColor rgb="FFFF8080"/>
      <rgbColor rgb="FF1B4F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111827"/>
      <rgbColor rgb="FF0B0E1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1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5" hidden="false" customHeight="false" outlineLevel="0" collapsed="false">
      <c r="A6" s="5" t="s">
        <v>7</v>
      </c>
      <c r="B6" s="6" t="n">
        <v>6</v>
      </c>
      <c r="C6" s="6" t="n">
        <v>10</v>
      </c>
      <c r="D6" s="6" t="n">
        <v>15</v>
      </c>
    </row>
    <row r="7" customFormat="false" ht="15" hidden="false" customHeight="false" outlineLevel="0" collapsed="false">
      <c r="A7" s="5" t="s">
        <v>8</v>
      </c>
      <c r="B7" s="6" t="n">
        <v>20</v>
      </c>
      <c r="C7" s="6" t="n">
        <v>25</v>
      </c>
      <c r="D7" s="6" t="n">
        <v>40</v>
      </c>
    </row>
    <row r="8" customFormat="false" ht="15" hidden="false" customHeight="false" outlineLevel="0" collapsed="false">
      <c r="A8" s="5" t="s">
        <v>9</v>
      </c>
      <c r="B8" s="6" t="n">
        <v>50</v>
      </c>
      <c r="C8" s="6" t="n">
        <v>60</v>
      </c>
      <c r="D8" s="6" t="n">
        <v>100</v>
      </c>
    </row>
    <row r="9" customFormat="false" ht="15" hidden="false" customHeight="false" outlineLevel="0" collapsed="false">
      <c r="A9" s="5" t="s">
        <v>10</v>
      </c>
      <c r="B9" s="6" t="n">
        <v>100</v>
      </c>
      <c r="C9" s="6" t="n">
        <v>120</v>
      </c>
      <c r="D9" s="6" t="n">
        <v>200</v>
      </c>
    </row>
    <row r="10" customFormat="false" ht="15" hidden="false" customHeight="false" outlineLevel="0" collapsed="false">
      <c r="A10" s="5" t="s">
        <v>11</v>
      </c>
      <c r="B10" s="6" t="n">
        <v>150</v>
      </c>
      <c r="C10" s="6" t="n">
        <v>200</v>
      </c>
      <c r="D10" s="6" t="n">
        <v>350</v>
      </c>
    </row>
    <row r="11" customFormat="false" ht="15" hidden="false" customHeight="false" outlineLevel="0" collapsed="false">
      <c r="A11" s="5" t="s">
        <v>12</v>
      </c>
      <c r="B11" s="7" t="n">
        <v>200000</v>
      </c>
      <c r="C11" s="7" t="n">
        <v>300000</v>
      </c>
      <c r="D11" s="7" t="n">
        <v>400000</v>
      </c>
    </row>
    <row r="12" customFormat="false" ht="15" hidden="false" customHeight="false" outlineLevel="0" collapsed="false">
      <c r="A12" s="5" t="s">
        <v>13</v>
      </c>
      <c r="B12" s="8" t="n">
        <v>0.03</v>
      </c>
      <c r="C12" s="8" t="n">
        <v>0.03</v>
      </c>
      <c r="D12" s="8" t="n">
        <v>0.05</v>
      </c>
    </row>
    <row r="13" customFormat="false" ht="15" hidden="false" customHeight="false" outlineLevel="0" collapsed="false">
      <c r="A13" s="5" t="s">
        <v>14</v>
      </c>
      <c r="B13" s="8" t="n">
        <v>0.025</v>
      </c>
      <c r="C13" s="8" t="n">
        <v>0.025</v>
      </c>
      <c r="D13" s="8" t="n">
        <v>0.04</v>
      </c>
    </row>
    <row r="14" customFormat="false" ht="15" hidden="false" customHeight="false" outlineLevel="0" collapsed="false">
      <c r="A14" s="5" t="s">
        <v>15</v>
      </c>
      <c r="B14" s="8" t="n">
        <v>0.06</v>
      </c>
      <c r="C14" s="8" t="n">
        <v>0.06</v>
      </c>
      <c r="D14" s="8" t="n">
        <v>0.08</v>
      </c>
    </row>
    <row r="15" customFormat="false" ht="15" hidden="false" customHeight="false" outlineLevel="0" collapsed="false">
      <c r="A15" s="5" t="s">
        <v>16</v>
      </c>
      <c r="B15" s="7" t="n">
        <v>500</v>
      </c>
      <c r="C15" s="7" t="n">
        <v>500</v>
      </c>
      <c r="D15" s="7" t="n">
        <v>600</v>
      </c>
    </row>
    <row r="16" customFormat="false" ht="15" hidden="false" customHeight="false" outlineLevel="0" collapsed="false">
      <c r="A16" s="5" t="s">
        <v>17</v>
      </c>
      <c r="B16" s="8" t="n">
        <v>0.01</v>
      </c>
      <c r="C16" s="8" t="n">
        <v>0.01</v>
      </c>
      <c r="D16" s="8" t="n">
        <v>0.011</v>
      </c>
    </row>
    <row r="17" customFormat="false" ht="15" hidden="false" customHeight="false" outlineLevel="0" collapsed="false">
      <c r="A17" s="5" t="s">
        <v>18</v>
      </c>
      <c r="B17" s="8" t="n">
        <v>0.009</v>
      </c>
      <c r="C17" s="8" t="n">
        <v>0.009</v>
      </c>
      <c r="D17" s="8" t="n">
        <v>0.01</v>
      </c>
    </row>
    <row r="18" customFormat="false" ht="15" hidden="false" customHeight="false" outlineLevel="0" collapsed="false">
      <c r="A18" s="5" t="s">
        <v>19</v>
      </c>
      <c r="B18" s="8" t="n">
        <v>0.0085</v>
      </c>
      <c r="C18" s="8" t="n">
        <v>0.0085</v>
      </c>
      <c r="D18" s="8" t="n">
        <v>0.0095</v>
      </c>
    </row>
    <row r="19" customFormat="false" ht="15" hidden="false" customHeight="false" outlineLevel="0" collapsed="false">
      <c r="A19" s="5" t="s">
        <v>20</v>
      </c>
      <c r="B19" s="8" t="n">
        <v>0.0075</v>
      </c>
      <c r="C19" s="8" t="n">
        <v>0.0075</v>
      </c>
      <c r="D19" s="8" t="n">
        <v>0.0085</v>
      </c>
    </row>
    <row r="20" customFormat="false" ht="15" hidden="false" customHeight="false" outlineLevel="0" collapsed="false">
      <c r="A20" s="5" t="s">
        <v>21</v>
      </c>
      <c r="B20" s="8" t="n">
        <v>0.007</v>
      </c>
      <c r="C20" s="8" t="n">
        <v>0.007</v>
      </c>
      <c r="D20" s="8" t="n">
        <v>0.008</v>
      </c>
    </row>
    <row r="21" customFormat="false" ht="15" hidden="false" customHeight="false" outlineLevel="0" collapsed="false">
      <c r="A21" s="5" t="s">
        <v>22</v>
      </c>
      <c r="B21" s="8" t="n">
        <v>0.35</v>
      </c>
      <c r="C21" s="8" t="n">
        <v>0.35</v>
      </c>
      <c r="D21" s="8" t="n">
        <v>0.4</v>
      </c>
    </row>
    <row r="22" customFormat="false" ht="15" hidden="false" customHeight="false" outlineLevel="0" collapsed="false">
      <c r="A22" s="5" t="s">
        <v>23</v>
      </c>
      <c r="B22" s="8" t="n">
        <v>0.05</v>
      </c>
      <c r="C22" s="8" t="n">
        <v>0.05</v>
      </c>
      <c r="D22" s="8" t="n">
        <v>0.08</v>
      </c>
    </row>
    <row r="24" customFormat="false" ht="15" hidden="false" customHeight="false" outlineLevel="0" collapsed="false">
      <c r="A24" s="3" t="s">
        <v>24</v>
      </c>
    </row>
    <row r="25" customFormat="false" ht="15" hidden="false" customHeight="false" outlineLevel="0" collapsed="false">
      <c r="A25" s="5" t="s">
        <v>25</v>
      </c>
      <c r="B25" s="8" t="n">
        <v>0.35</v>
      </c>
      <c r="C25" s="8" t="n">
        <v>0.35</v>
      </c>
      <c r="D25" s="8" t="n">
        <v>0.3</v>
      </c>
    </row>
    <row r="26" customFormat="false" ht="15" hidden="false" customHeight="false" outlineLevel="0" collapsed="false">
      <c r="A26" s="5" t="s">
        <v>26</v>
      </c>
      <c r="B26" s="8" t="n">
        <v>0.3</v>
      </c>
      <c r="C26" s="8" t="n">
        <v>0.3</v>
      </c>
      <c r="D26" s="8" t="n">
        <v>0.25</v>
      </c>
    </row>
    <row r="27" customFormat="false" ht="15" hidden="false" customHeight="false" outlineLevel="0" collapsed="false">
      <c r="A27" s="5" t="s">
        <v>27</v>
      </c>
      <c r="B27" s="8" t="n">
        <v>0.28</v>
      </c>
      <c r="C27" s="8" t="n">
        <v>0.28</v>
      </c>
      <c r="D27" s="8" t="n">
        <v>0.23</v>
      </c>
    </row>
    <row r="28" customFormat="false" ht="15" hidden="false" customHeight="false" outlineLevel="0" collapsed="false">
      <c r="A28" s="5" t="s">
        <v>28</v>
      </c>
      <c r="B28" s="8" t="n">
        <v>0.25</v>
      </c>
      <c r="C28" s="8" t="n">
        <v>0.25</v>
      </c>
      <c r="D28" s="8" t="n">
        <v>0.2</v>
      </c>
    </row>
    <row r="29" customFormat="false" ht="15" hidden="false" customHeight="false" outlineLevel="0" collapsed="false">
      <c r="A29" s="5" t="s">
        <v>29</v>
      </c>
      <c r="B29" s="8" t="n">
        <v>0.22</v>
      </c>
      <c r="C29" s="8" t="n">
        <v>0.22</v>
      </c>
      <c r="D29" s="8" t="n">
        <v>0.18</v>
      </c>
    </row>
    <row r="30" customFormat="false" ht="15" hidden="false" customHeight="false" outlineLevel="0" collapsed="false">
      <c r="A30" s="5" t="s">
        <v>30</v>
      </c>
      <c r="B30" s="7" t="n">
        <v>37500</v>
      </c>
      <c r="C30" s="7" t="n">
        <v>37500</v>
      </c>
      <c r="D30" s="7" t="n">
        <v>45000</v>
      </c>
    </row>
    <row r="31" customFormat="false" ht="15" hidden="false" customHeight="false" outlineLevel="0" collapsed="false">
      <c r="A31" s="5" t="s">
        <v>31</v>
      </c>
      <c r="B31" s="7" t="n">
        <v>100000</v>
      </c>
      <c r="C31" s="7" t="n">
        <v>100000</v>
      </c>
      <c r="D31" s="7" t="n">
        <v>120000</v>
      </c>
    </row>
    <row r="32" customFormat="false" ht="15" hidden="false" customHeight="false" outlineLevel="0" collapsed="false">
      <c r="A32" s="5" t="s">
        <v>32</v>
      </c>
      <c r="B32" s="7" t="n">
        <v>183000</v>
      </c>
      <c r="C32" s="7" t="n">
        <v>183000</v>
      </c>
      <c r="D32" s="7" t="n">
        <v>220000</v>
      </c>
    </row>
    <row r="33" customFormat="false" ht="15" hidden="false" customHeight="false" outlineLevel="0" collapsed="false">
      <c r="A33" s="5" t="s">
        <v>33</v>
      </c>
      <c r="B33" s="7" t="n">
        <v>333000</v>
      </c>
      <c r="C33" s="7" t="n">
        <v>333000</v>
      </c>
      <c r="D33" s="7" t="n">
        <v>400000</v>
      </c>
    </row>
    <row r="34" customFormat="false" ht="15" hidden="false" customHeight="false" outlineLevel="0" collapsed="false">
      <c r="A34" s="5" t="s">
        <v>34</v>
      </c>
      <c r="B34" s="7" t="n">
        <v>542000</v>
      </c>
      <c r="C34" s="7" t="n">
        <v>542000</v>
      </c>
      <c r="D34" s="7" t="n">
        <v>650000</v>
      </c>
    </row>
    <row r="35" customFormat="false" ht="15" hidden="false" customHeight="false" outlineLevel="0" collapsed="false">
      <c r="A35" s="5" t="s">
        <v>35</v>
      </c>
      <c r="B35" s="7" t="n">
        <v>10000</v>
      </c>
      <c r="C35" s="7" t="n">
        <v>10000</v>
      </c>
      <c r="D35" s="7" t="n">
        <v>12000</v>
      </c>
    </row>
    <row r="36" customFormat="false" ht="15" hidden="false" customHeight="false" outlineLevel="0" collapsed="false">
      <c r="A36" s="5" t="s">
        <v>36</v>
      </c>
      <c r="B36" s="7" t="n">
        <v>21000</v>
      </c>
      <c r="C36" s="7" t="n">
        <v>21000</v>
      </c>
      <c r="D36" s="7" t="n">
        <v>25000</v>
      </c>
    </row>
    <row r="37" customFormat="false" ht="15" hidden="false" customHeight="false" outlineLevel="0" collapsed="false">
      <c r="A37" s="5" t="s">
        <v>37</v>
      </c>
      <c r="B37" s="7" t="n">
        <v>37500</v>
      </c>
      <c r="C37" s="7" t="n">
        <v>37500</v>
      </c>
      <c r="D37" s="7" t="n">
        <v>45000</v>
      </c>
    </row>
    <row r="38" customFormat="false" ht="15" hidden="false" customHeight="false" outlineLevel="0" collapsed="false">
      <c r="A38" s="5" t="s">
        <v>38</v>
      </c>
      <c r="B38" s="7" t="n">
        <v>67000</v>
      </c>
      <c r="C38" s="7" t="n">
        <v>67000</v>
      </c>
      <c r="D38" s="7" t="n">
        <v>80000</v>
      </c>
    </row>
    <row r="39" customFormat="false" ht="15" hidden="false" customHeight="false" outlineLevel="0" collapsed="false">
      <c r="A39" s="5" t="s">
        <v>39</v>
      </c>
      <c r="B39" s="7" t="n">
        <v>100000</v>
      </c>
      <c r="C39" s="7" t="n">
        <v>100000</v>
      </c>
      <c r="D39" s="7" t="n">
        <v>120000</v>
      </c>
    </row>
    <row r="40" customFormat="false" ht="15" hidden="false" customHeight="false" outlineLevel="0" collapsed="false">
      <c r="A40" s="5" t="s">
        <v>40</v>
      </c>
      <c r="B40" s="7" t="n">
        <v>12500</v>
      </c>
      <c r="C40" s="7" t="n">
        <v>12500</v>
      </c>
      <c r="D40" s="7" t="n">
        <v>15000</v>
      </c>
    </row>
    <row r="41" customFormat="false" ht="15" hidden="false" customHeight="false" outlineLevel="0" collapsed="false">
      <c r="A41" s="5" t="s">
        <v>41</v>
      </c>
      <c r="B41" s="7" t="n">
        <v>25000</v>
      </c>
      <c r="C41" s="7" t="n">
        <v>25000</v>
      </c>
      <c r="D41" s="7" t="n">
        <v>30000</v>
      </c>
    </row>
    <row r="42" customFormat="false" ht="15" hidden="false" customHeight="false" outlineLevel="0" collapsed="false">
      <c r="A42" s="5" t="s">
        <v>42</v>
      </c>
      <c r="B42" s="7" t="n">
        <v>33000</v>
      </c>
      <c r="C42" s="7" t="n">
        <v>33000</v>
      </c>
      <c r="D42" s="7" t="n">
        <v>40000</v>
      </c>
    </row>
    <row r="43" customFormat="false" ht="15" hidden="false" customHeight="false" outlineLevel="0" collapsed="false">
      <c r="A43" s="5" t="s">
        <v>43</v>
      </c>
      <c r="B43" s="7" t="n">
        <v>42000</v>
      </c>
      <c r="C43" s="7" t="n">
        <v>42000</v>
      </c>
      <c r="D43" s="7" t="n">
        <v>50000</v>
      </c>
    </row>
    <row r="44" customFormat="false" ht="15" hidden="false" customHeight="false" outlineLevel="0" collapsed="false">
      <c r="A44" s="5" t="s">
        <v>44</v>
      </c>
      <c r="B44" s="7" t="n">
        <v>50000</v>
      </c>
      <c r="C44" s="7" t="n">
        <v>50000</v>
      </c>
      <c r="D44" s="7" t="n">
        <v>60000</v>
      </c>
    </row>
    <row r="45" customFormat="false" ht="15" hidden="false" customHeight="false" outlineLevel="0" collapsed="false">
      <c r="A45" s="5" t="s">
        <v>45</v>
      </c>
      <c r="B45" s="7" t="n">
        <v>2500</v>
      </c>
      <c r="C45" s="7" t="n">
        <v>2500</v>
      </c>
      <c r="D45" s="7" t="n">
        <v>3000</v>
      </c>
    </row>
    <row r="46" customFormat="false" ht="15" hidden="false" customHeight="false" outlineLevel="0" collapsed="false">
      <c r="A46" s="5" t="s">
        <v>46</v>
      </c>
      <c r="B46" s="7" t="n">
        <v>12500</v>
      </c>
      <c r="C46" s="7" t="n">
        <v>12500</v>
      </c>
      <c r="D46" s="7" t="n">
        <v>15000</v>
      </c>
    </row>
    <row r="47" customFormat="false" ht="15" hidden="false" customHeight="false" outlineLevel="0" collapsed="false">
      <c r="A47" s="5" t="s">
        <v>47</v>
      </c>
      <c r="B47" s="7" t="n">
        <v>29000</v>
      </c>
      <c r="C47" s="7" t="n">
        <v>29000</v>
      </c>
      <c r="D47" s="7" t="n">
        <v>35000</v>
      </c>
    </row>
    <row r="48" customFormat="false" ht="15" hidden="false" customHeight="false" outlineLevel="0" collapsed="false">
      <c r="A48" s="5" t="s">
        <v>48</v>
      </c>
      <c r="B48" s="7" t="n">
        <v>58000</v>
      </c>
      <c r="C48" s="7" t="n">
        <v>58000</v>
      </c>
      <c r="D48" s="7" t="n">
        <v>70000</v>
      </c>
    </row>
    <row r="49" customFormat="false" ht="15" hidden="false" customHeight="false" outlineLevel="0" collapsed="false">
      <c r="A49" s="5" t="s">
        <v>49</v>
      </c>
      <c r="B49" s="7" t="n">
        <v>100000</v>
      </c>
      <c r="C49" s="7" t="n">
        <v>100000</v>
      </c>
      <c r="D49" s="7" t="n">
        <v>120000</v>
      </c>
    </row>
    <row r="50" customFormat="false" ht="15" hidden="false" customHeight="false" outlineLevel="0" collapsed="false">
      <c r="A50" s="5" t="s">
        <v>50</v>
      </c>
      <c r="B50" s="7" t="n">
        <v>6250</v>
      </c>
      <c r="C50" s="7" t="n">
        <v>6250</v>
      </c>
      <c r="D50" s="7" t="n">
        <v>7500</v>
      </c>
    </row>
    <row r="51" customFormat="false" ht="15" hidden="false" customHeight="false" outlineLevel="0" collapsed="false">
      <c r="A51" s="5" t="s">
        <v>51</v>
      </c>
      <c r="B51" s="7" t="n">
        <v>10000</v>
      </c>
      <c r="C51" s="7" t="n">
        <v>10000</v>
      </c>
      <c r="D51" s="7" t="n">
        <v>12000</v>
      </c>
    </row>
    <row r="52" customFormat="false" ht="15" hidden="false" customHeight="false" outlineLevel="0" collapsed="false">
      <c r="A52" s="5" t="s">
        <v>52</v>
      </c>
      <c r="B52" s="7" t="n">
        <v>17000</v>
      </c>
      <c r="C52" s="7" t="n">
        <v>17000</v>
      </c>
      <c r="D52" s="7" t="n">
        <v>20000</v>
      </c>
    </row>
    <row r="53" customFormat="false" ht="15" hidden="false" customHeight="false" outlineLevel="0" collapsed="false">
      <c r="A53" s="5" t="s">
        <v>53</v>
      </c>
      <c r="B53" s="7" t="n">
        <v>30000</v>
      </c>
      <c r="C53" s="7" t="n">
        <v>30000</v>
      </c>
      <c r="D53" s="7" t="n">
        <v>35000</v>
      </c>
    </row>
    <row r="54" customFormat="false" ht="15" hidden="false" customHeight="false" outlineLevel="0" collapsed="false">
      <c r="A54" s="5" t="s">
        <v>54</v>
      </c>
      <c r="B54" s="7" t="n">
        <v>42000</v>
      </c>
      <c r="C54" s="7" t="n">
        <v>42000</v>
      </c>
      <c r="D54" s="7" t="n">
        <v>50000</v>
      </c>
    </row>
    <row r="56" customFormat="false" ht="15" hidden="false" customHeight="false" outlineLevel="0" collapsed="false">
      <c r="A56" s="3" t="s">
        <v>55</v>
      </c>
    </row>
    <row r="57" customFormat="false" ht="15" hidden="false" customHeight="false" outlineLevel="0" collapsed="false">
      <c r="A57" s="5" t="s">
        <v>56</v>
      </c>
      <c r="B57" s="7" t="n">
        <v>1500000</v>
      </c>
      <c r="C57" s="7" t="n">
        <v>2000000</v>
      </c>
      <c r="D57" s="7" t="n">
        <v>2000000</v>
      </c>
    </row>
    <row r="58" customFormat="false" ht="15" hidden="false" customHeight="false" outlineLevel="0" collapsed="false">
      <c r="A58" s="5" t="s">
        <v>57</v>
      </c>
      <c r="B58" s="7" t="n">
        <v>9000000</v>
      </c>
      <c r="C58" s="7" t="n">
        <v>9000000</v>
      </c>
      <c r="D58" s="7" t="n">
        <v>10000000</v>
      </c>
    </row>
    <row r="59" customFormat="false" ht="15" hidden="false" customHeight="false" outlineLevel="0" collapsed="false">
      <c r="A59" s="5" t="s">
        <v>58</v>
      </c>
      <c r="B59" s="7" t="n">
        <v>50000</v>
      </c>
      <c r="C59" s="7" t="n">
        <v>50000</v>
      </c>
      <c r="D59" s="7" t="n">
        <v>75000</v>
      </c>
    </row>
    <row r="61" customFormat="false" ht="15" hidden="false" customHeight="false" outlineLevel="0" collapsed="false">
      <c r="A61" s="3" t="s">
        <v>59</v>
      </c>
    </row>
    <row r="62" customFormat="false" ht="15" hidden="false" customHeight="false" outlineLevel="0" collapsed="false">
      <c r="A62" s="5" t="s">
        <v>60</v>
      </c>
      <c r="B62" s="7" t="n">
        <v>2500</v>
      </c>
      <c r="C62" s="7" t="n">
        <v>2000</v>
      </c>
      <c r="D62" s="7" t="n">
        <v>1500</v>
      </c>
    </row>
    <row r="63" customFormat="false" ht="15" hidden="false" customHeight="false" outlineLevel="0" collapsed="false">
      <c r="A63" s="5" t="s">
        <v>61</v>
      </c>
      <c r="B63" s="7" t="n">
        <v>5000</v>
      </c>
      <c r="C63" s="7" t="n">
        <v>4000</v>
      </c>
      <c r="D63" s="7" t="n">
        <v>3000</v>
      </c>
    </row>
    <row r="64" customFormat="false" ht="15" hidden="false" customHeight="false" outlineLevel="0" collapsed="false">
      <c r="A64" s="5" t="s">
        <v>62</v>
      </c>
      <c r="B64" s="7" t="n">
        <v>4500</v>
      </c>
      <c r="C64" s="7" t="n">
        <v>3500</v>
      </c>
      <c r="D64" s="7" t="n">
        <v>2500</v>
      </c>
    </row>
    <row r="65" customFormat="false" ht="15" hidden="false" customHeight="false" outlineLevel="0" collapsed="false">
      <c r="A65" s="5" t="s">
        <v>63</v>
      </c>
      <c r="B65" s="7" t="n">
        <v>4000</v>
      </c>
      <c r="C65" s="7" t="n">
        <v>3000</v>
      </c>
      <c r="D65" s="7" t="n">
        <v>2000</v>
      </c>
    </row>
    <row r="66" customFormat="false" ht="15" hidden="false" customHeight="false" outlineLevel="0" collapsed="false">
      <c r="A66" s="5" t="s">
        <v>64</v>
      </c>
      <c r="B66" s="7" t="n">
        <v>3500</v>
      </c>
      <c r="C66" s="7" t="n">
        <v>2500</v>
      </c>
      <c r="D66" s="7" t="n">
        <v>1500</v>
      </c>
    </row>
    <row r="67" customFormat="false" ht="15" hidden="false" customHeight="false" outlineLevel="0" collapsed="false">
      <c r="A67" s="5" t="s">
        <v>65</v>
      </c>
      <c r="B67" s="8" t="n">
        <v>0.08</v>
      </c>
      <c r="C67" s="8" t="n">
        <v>0.05</v>
      </c>
      <c r="D67" s="8" t="n">
        <v>0.03</v>
      </c>
    </row>
    <row r="68" customFormat="false" ht="15" hidden="false" customHeight="false" outlineLevel="0" collapsed="false">
      <c r="A68" s="5" t="s">
        <v>66</v>
      </c>
      <c r="B68" s="8" t="n">
        <v>1.15</v>
      </c>
      <c r="C68" s="8" t="n">
        <v>1.25</v>
      </c>
      <c r="D68" s="8" t="n">
        <v>1.35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42" min="2" style="0" width="14"/>
  </cols>
  <sheetData>
    <row r="1" customFormat="false" ht="17.35" hidden="false" customHeight="false" outlineLevel="0" collapsed="false">
      <c r="A1" s="1" t="s">
        <v>67</v>
      </c>
    </row>
    <row r="3" customFormat="false" ht="15" hidden="false" customHeight="false" outlineLevel="0" collapsed="false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79</v>
      </c>
      <c r="M3" s="4" t="s">
        <v>80</v>
      </c>
      <c r="N3" s="4" t="s">
        <v>81</v>
      </c>
      <c r="O3" s="4" t="s">
        <v>82</v>
      </c>
      <c r="P3" s="4" t="s">
        <v>83</v>
      </c>
      <c r="Q3" s="4" t="s">
        <v>84</v>
      </c>
      <c r="R3" s="4" t="s">
        <v>85</v>
      </c>
      <c r="S3" s="4" t="s">
        <v>86</v>
      </c>
      <c r="T3" s="4" t="s">
        <v>87</v>
      </c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4" t="s">
        <v>96</v>
      </c>
      <c r="AD3" s="4" t="s">
        <v>97</v>
      </c>
      <c r="AE3" s="4" t="s">
        <v>98</v>
      </c>
      <c r="AF3" s="4" t="s">
        <v>99</v>
      </c>
      <c r="AG3" s="4" t="s">
        <v>100</v>
      </c>
      <c r="AH3" s="4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4" t="s">
        <v>107</v>
      </c>
      <c r="AO3" s="4" t="s">
        <v>108</v>
      </c>
      <c r="AP3" s="4" t="s">
        <v>109</v>
      </c>
    </row>
    <row r="5" customFormat="false" ht="15" hidden="false" customHeight="false" outlineLevel="0" collapsed="false">
      <c r="A5" s="3" t="s">
        <v>110</v>
      </c>
    </row>
    <row r="6" customFormat="false" ht="15" hidden="false" customHeight="false" outlineLevel="0" collapsed="false">
      <c r="A6" s="5" t="s">
        <v>111</v>
      </c>
      <c r="B6" s="9" t="n">
        <f aca="false">ROUND(Assumptions!C6*1/12,0)</f>
        <v>1</v>
      </c>
      <c r="C6" s="9" t="n">
        <f aca="false">ROUND(Assumptions!C6*2/12,0)</f>
        <v>2</v>
      </c>
      <c r="D6" s="9" t="n">
        <f aca="false">ROUND(Assumptions!C6*3/12,0)</f>
        <v>3</v>
      </c>
      <c r="E6" s="9" t="n">
        <f aca="false">ROUND(Assumptions!C6*4/12,0)</f>
        <v>3</v>
      </c>
      <c r="F6" s="9" t="n">
        <f aca="false">ROUND(Assumptions!C6*5/12,0)</f>
        <v>4</v>
      </c>
      <c r="G6" s="9" t="n">
        <f aca="false">ROUND(Assumptions!C6*6/12,0)</f>
        <v>5</v>
      </c>
      <c r="H6" s="9" t="n">
        <f aca="false">ROUND(Assumptions!C6*7/12,0)</f>
        <v>6</v>
      </c>
      <c r="I6" s="9" t="n">
        <f aca="false">ROUND(Assumptions!C6*8/12,0)</f>
        <v>7</v>
      </c>
      <c r="J6" s="9" t="n">
        <f aca="false">ROUND(Assumptions!C6*9/12,0)</f>
        <v>8</v>
      </c>
      <c r="K6" s="9" t="n">
        <f aca="false">ROUND(Assumptions!C6*10/12,0)</f>
        <v>8</v>
      </c>
      <c r="L6" s="9" t="n">
        <f aca="false">ROUND(Assumptions!C6*11/12,0)</f>
        <v>9</v>
      </c>
      <c r="M6" s="9" t="n">
        <f aca="false">ROUND(Assumptions!C6*12/12,0)</f>
        <v>10</v>
      </c>
      <c r="N6" s="9" t="n">
        <f aca="false">ROUND(Assumptions!C6+(Assumptions!C7-Assumptions!C6)*1/12,0)</f>
        <v>11</v>
      </c>
      <c r="O6" s="9" t="n">
        <f aca="false">ROUND(Assumptions!C6+(Assumptions!C7-Assumptions!C6)*2/12,0)</f>
        <v>13</v>
      </c>
      <c r="P6" s="9" t="n">
        <f aca="false">ROUND(Assumptions!C6+(Assumptions!C7-Assumptions!C6)*3/12,0)</f>
        <v>14</v>
      </c>
      <c r="Q6" s="9" t="n">
        <f aca="false">ROUND(Assumptions!C6+(Assumptions!C7-Assumptions!C6)*4/12,0)</f>
        <v>15</v>
      </c>
      <c r="R6" s="9" t="n">
        <f aca="false">ROUND(Assumptions!C6+(Assumptions!C7-Assumptions!C6)*5/12,0)</f>
        <v>16</v>
      </c>
      <c r="S6" s="9" t="n">
        <f aca="false">ROUND(Assumptions!C6+(Assumptions!C7-Assumptions!C6)*6/12,0)</f>
        <v>18</v>
      </c>
      <c r="T6" s="9" t="n">
        <f aca="false">ROUND(Assumptions!C6+(Assumptions!C7-Assumptions!C6)*7/12,0)</f>
        <v>19</v>
      </c>
      <c r="U6" s="9" t="n">
        <f aca="false">ROUND(Assumptions!C6+(Assumptions!C7-Assumptions!C6)*8/12,0)</f>
        <v>20</v>
      </c>
      <c r="V6" s="9" t="n">
        <f aca="false">ROUND(Assumptions!C6+(Assumptions!C7-Assumptions!C6)*9/12,0)</f>
        <v>21</v>
      </c>
      <c r="W6" s="9" t="n">
        <f aca="false">ROUND(Assumptions!C6+(Assumptions!C7-Assumptions!C6)*10/12,0)</f>
        <v>23</v>
      </c>
      <c r="X6" s="9" t="n">
        <f aca="false">ROUND(Assumptions!C6+(Assumptions!C7-Assumptions!C6)*11/12,0)</f>
        <v>24</v>
      </c>
      <c r="Y6" s="9" t="n">
        <f aca="false">ROUND(Assumptions!C6+(Assumptions!C7-Assumptions!C6)*12/12,0)</f>
        <v>25</v>
      </c>
      <c r="Z6" s="9" t="n">
        <f aca="false">ROUND(Assumptions!C7+(Assumptions!C8-Assumptions!C7)*1/4,0)</f>
        <v>34</v>
      </c>
      <c r="AA6" s="9" t="n">
        <f aca="false">ROUND(Assumptions!C7+(Assumptions!C8-Assumptions!C7)*2/4,0)</f>
        <v>43</v>
      </c>
      <c r="AB6" s="9" t="n">
        <f aca="false">ROUND(Assumptions!C7+(Assumptions!C8-Assumptions!C7)*3/4,0)</f>
        <v>51</v>
      </c>
      <c r="AC6" s="9" t="n">
        <f aca="false">ROUND(Assumptions!C7+(Assumptions!C8-Assumptions!C7)*4/4,0)</f>
        <v>60</v>
      </c>
      <c r="AD6" s="9" t="n">
        <f aca="false">ROUND(Assumptions!C8+(Assumptions!C9-Assumptions!C8)*1/4,0)</f>
        <v>75</v>
      </c>
      <c r="AE6" s="9" t="n">
        <f aca="false">ROUND(Assumptions!C8+(Assumptions!C9-Assumptions!C8)*2/4,0)</f>
        <v>90</v>
      </c>
      <c r="AF6" s="9" t="n">
        <f aca="false">ROUND(Assumptions!C8+(Assumptions!C9-Assumptions!C8)*3/4,0)</f>
        <v>105</v>
      </c>
      <c r="AG6" s="9" t="n">
        <f aca="false">ROUND(Assumptions!C8+(Assumptions!C9-Assumptions!C8)*4/4,0)</f>
        <v>120</v>
      </c>
      <c r="AH6" s="9" t="n">
        <f aca="false">ROUND(Assumptions!C9+(Assumptions!C10-Assumptions!C9)*1/4,0)</f>
        <v>140</v>
      </c>
      <c r="AI6" s="9" t="n">
        <f aca="false">ROUND(Assumptions!C9+(Assumptions!C10-Assumptions!C9)*2/4,0)</f>
        <v>160</v>
      </c>
      <c r="AJ6" s="9" t="n">
        <f aca="false">ROUND(Assumptions!C9+(Assumptions!C10-Assumptions!C9)*3/4,0)</f>
        <v>180</v>
      </c>
      <c r="AK6" s="9" t="n">
        <f aca="false">ROUND(Assumptions!C9+(Assumptions!C10-Assumptions!C9)*4/4,0)</f>
        <v>200</v>
      </c>
      <c r="AL6" s="10" t="n">
        <f aca="false">M6</f>
        <v>10</v>
      </c>
      <c r="AM6" s="10" t="n">
        <f aca="false">Y6</f>
        <v>25</v>
      </c>
      <c r="AN6" s="10" t="n">
        <f aca="false">AC6</f>
        <v>60</v>
      </c>
      <c r="AO6" s="10" t="n">
        <f aca="false">AG6</f>
        <v>120</v>
      </c>
      <c r="AP6" s="10" t="n">
        <f aca="false">AK6</f>
        <v>200</v>
      </c>
    </row>
    <row r="7" customFormat="false" ht="15" hidden="false" customHeight="false" outlineLevel="0" collapsed="false">
      <c r="A7" s="5" t="s">
        <v>112</v>
      </c>
      <c r="B7" s="11" t="n">
        <f aca="false">Assumptions!C11*(1+Assumptions!C12)^0</f>
        <v>300000</v>
      </c>
      <c r="C7" s="11" t="n">
        <f aca="false">Assumptions!C11*(1+Assumptions!C12)^1</f>
        <v>309000</v>
      </c>
      <c r="D7" s="11" t="n">
        <f aca="false">Assumptions!C11*(1+Assumptions!C12)^2</f>
        <v>318270</v>
      </c>
      <c r="E7" s="11" t="n">
        <f aca="false">Assumptions!C11*(1+Assumptions!C12)^3</f>
        <v>327818.1</v>
      </c>
      <c r="F7" s="11" t="n">
        <f aca="false">Assumptions!C11*(1+Assumptions!C12)^4</f>
        <v>337652.643</v>
      </c>
      <c r="G7" s="11" t="n">
        <f aca="false">Assumptions!C11*(1+Assumptions!C12)^5</f>
        <v>347782.22229</v>
      </c>
      <c r="H7" s="11" t="n">
        <f aca="false">Assumptions!C11*(1+Assumptions!C12)^6</f>
        <v>358215.6889587</v>
      </c>
      <c r="I7" s="11" t="n">
        <f aca="false">Assumptions!C11*(1+Assumptions!C12)^7</f>
        <v>368962.159627461</v>
      </c>
      <c r="J7" s="11" t="n">
        <f aca="false">Assumptions!C11*(1+Assumptions!C12)^8</f>
        <v>380031.024416285</v>
      </c>
      <c r="K7" s="11" t="n">
        <f aca="false">Assumptions!C11*(1+Assumptions!C12)^9</f>
        <v>391431.955148773</v>
      </c>
      <c r="L7" s="11" t="n">
        <f aca="false">Assumptions!C11*(1+Assumptions!C12)^10</f>
        <v>403174.913803237</v>
      </c>
      <c r="M7" s="11" t="n">
        <f aca="false">Assumptions!C11*(1+Assumptions!C12)^11</f>
        <v>415270.161217334</v>
      </c>
      <c r="N7" s="11" t="n">
        <f aca="false">Assumptions!C11*(1+Assumptions!C12)^12*(1+Assumptions!C13)^0</f>
        <v>427728.266053854</v>
      </c>
      <c r="O7" s="11" t="n">
        <f aca="false">Assumptions!C11*(1+Assumptions!C12)^12*(1+Assumptions!C13)^1</f>
        <v>438421.4727052</v>
      </c>
      <c r="P7" s="11" t="n">
        <f aca="false">Assumptions!C11*(1+Assumptions!C12)^12*(1+Assumptions!C13)^2</f>
        <v>449382.00952283</v>
      </c>
      <c r="Q7" s="11" t="n">
        <f aca="false">Assumptions!C11*(1+Assumptions!C12)^12*(1+Assumptions!C13)^3</f>
        <v>460616.559760901</v>
      </c>
      <c r="R7" s="11" t="n">
        <f aca="false">Assumptions!C11*(1+Assumptions!C12)^12*(1+Assumptions!C13)^4</f>
        <v>472131.973754923</v>
      </c>
      <c r="S7" s="11" t="n">
        <f aca="false">Assumptions!C11*(1+Assumptions!C12)^12*(1+Assumptions!C13)^5</f>
        <v>483935.273098796</v>
      </c>
      <c r="T7" s="11" t="n">
        <f aca="false">Assumptions!C11*(1+Assumptions!C12)^12*(1+Assumptions!C13)^6</f>
        <v>496033.654926266</v>
      </c>
      <c r="U7" s="11" t="n">
        <f aca="false">Assumptions!C11*(1+Assumptions!C12)^12*(1+Assumptions!C13)^7</f>
        <v>508434.496299423</v>
      </c>
      <c r="V7" s="11" t="n">
        <f aca="false">Assumptions!C11*(1+Assumptions!C12)^12*(1+Assumptions!C13)^8</f>
        <v>521145.358706908</v>
      </c>
      <c r="W7" s="11" t="n">
        <f aca="false">Assumptions!C11*(1+Assumptions!C12)^12*(1+Assumptions!C13)^9</f>
        <v>534173.992674581</v>
      </c>
      <c r="X7" s="11" t="n">
        <f aca="false">Assumptions!C11*(1+Assumptions!C12)^12*(1+Assumptions!C13)^10</f>
        <v>547528.342491445</v>
      </c>
      <c r="Y7" s="11" t="n">
        <f aca="false">Assumptions!C11*(1+Assumptions!C12)^12*(1+Assumptions!C13)^11</f>
        <v>561216.551053732</v>
      </c>
      <c r="Z7" s="11" t="n">
        <f aca="false">Assumptions!C11*(1+Assumptions!C12)^12*(1+Assumptions!C13)^12*(1+Assumptions!C14)^0*3</f>
        <v>1725740.89449022</v>
      </c>
      <c r="AA7" s="11" t="n">
        <f aca="false">Assumptions!C11*(1+Assumptions!C12)^12*(1+Assumptions!C13)^12*(1+Assumptions!C14)^1*3</f>
        <v>1829285.34815964</v>
      </c>
      <c r="AB7" s="11" t="n">
        <f aca="false">Assumptions!C11*(1+Assumptions!C12)^12*(1+Assumptions!C13)^12*(1+Assumptions!C14)^2*3</f>
        <v>1939042.46904922</v>
      </c>
      <c r="AC7" s="11" t="n">
        <f aca="false">Assumptions!C11*(1+Assumptions!C12)^12*(1+Assumptions!C13)^12*(1+Assumptions!C14)^3*3</f>
        <v>2055385.01719217</v>
      </c>
      <c r="AD7" s="11" t="n">
        <f aca="false">Assumptions!C11*(1+Assumptions!C12)^12*(1+Assumptions!C13)^12*(1+Assumptions!C14)^(0+4)*3</f>
        <v>2178708.1182237</v>
      </c>
      <c r="AE7" s="11" t="n">
        <f aca="false">Assumptions!C11*(1+Assumptions!C12)^12*(1+Assumptions!C13)^12*(1+Assumptions!C14)^(1+4)*3</f>
        <v>2309430.60531712</v>
      </c>
      <c r="AF7" s="11" t="n">
        <f aca="false">Assumptions!C11*(1+Assumptions!C12)^12*(1+Assumptions!C13)^12*(1+Assumptions!C14)^(2+4)*3</f>
        <v>2447996.44163615</v>
      </c>
      <c r="AG7" s="11" t="n">
        <f aca="false">Assumptions!C11*(1+Assumptions!C12)^12*(1+Assumptions!C13)^12*(1+Assumptions!C14)^(3+4)*3</f>
        <v>2594876.22813432</v>
      </c>
      <c r="AH7" s="11" t="n">
        <f aca="false">Assumptions!C11*(1+Assumptions!C12)^12*(1+Assumptions!C13)^12*(1+Assumptions!C14)^(0+8)*3</f>
        <v>2750568.80182238</v>
      </c>
      <c r="AI7" s="11" t="n">
        <f aca="false">Assumptions!C11*(1+Assumptions!C12)^12*(1+Assumptions!C13)^12*(1+Assumptions!C14)^(1+8)*3</f>
        <v>2915602.92993172</v>
      </c>
      <c r="AJ7" s="11" t="n">
        <f aca="false">Assumptions!C11*(1+Assumptions!C12)^12*(1+Assumptions!C13)^12*(1+Assumptions!C14)^(2+8)*3</f>
        <v>3090539.10572762</v>
      </c>
      <c r="AK7" s="11" t="n">
        <f aca="false">Assumptions!C11*(1+Assumptions!C12)^12*(1+Assumptions!C13)^12*(1+Assumptions!C14)^(3+8)*3</f>
        <v>3275971.45207128</v>
      </c>
      <c r="AL7" s="12" t="n">
        <f aca="false">AVERAGE(B7:M7)</f>
        <v>354800.739038483</v>
      </c>
      <c r="AM7" s="12" t="n">
        <f aca="false">AVERAGE(N7:Y7)</f>
        <v>491728.995920738</v>
      </c>
      <c r="AN7" s="12" t="n">
        <f aca="false">AVERAGE(Z7:AC7)</f>
        <v>1887363.43222281</v>
      </c>
      <c r="AO7" s="12" t="n">
        <f aca="false">AVERAGE(AD7:AG7)</f>
        <v>2382752.84832782</v>
      </c>
      <c r="AP7" s="12" t="n">
        <f aca="false">AVERAGE(AH7:AK7)</f>
        <v>3008170.57238825</v>
      </c>
    </row>
    <row r="8" customFormat="false" ht="15" hidden="false" customHeight="false" outlineLevel="0" collapsed="false">
      <c r="A8" s="5" t="s">
        <v>113</v>
      </c>
      <c r="B8" s="11" t="n">
        <f aca="false">B6*B7</f>
        <v>300000</v>
      </c>
      <c r="C8" s="11" t="n">
        <f aca="false">C6*C7</f>
        <v>618000</v>
      </c>
      <c r="D8" s="11" t="n">
        <f aca="false">D6*D7</f>
        <v>954810</v>
      </c>
      <c r="E8" s="11" t="n">
        <f aca="false">E6*E7</f>
        <v>983454.3</v>
      </c>
      <c r="F8" s="11" t="n">
        <f aca="false">F6*F7</f>
        <v>1350610.572</v>
      </c>
      <c r="G8" s="11" t="n">
        <f aca="false">G6*G7</f>
        <v>1738911.11145</v>
      </c>
      <c r="H8" s="11" t="n">
        <f aca="false">H6*H7</f>
        <v>2149294.1337522</v>
      </c>
      <c r="I8" s="11" t="n">
        <f aca="false">I6*I7</f>
        <v>2582735.11739223</v>
      </c>
      <c r="J8" s="11" t="n">
        <f aca="false">J6*J7</f>
        <v>3040248.19533028</v>
      </c>
      <c r="K8" s="11" t="n">
        <f aca="false">K6*K7</f>
        <v>3131455.64119019</v>
      </c>
      <c r="L8" s="11" t="n">
        <f aca="false">L6*L7</f>
        <v>3628574.22422913</v>
      </c>
      <c r="M8" s="11" t="n">
        <f aca="false">M6*M7</f>
        <v>4152701.61217334</v>
      </c>
      <c r="N8" s="11" t="n">
        <f aca="false">N6*N7</f>
        <v>4705010.92659239</v>
      </c>
      <c r="O8" s="11" t="n">
        <f aca="false">O6*O7</f>
        <v>5699479.1451676</v>
      </c>
      <c r="P8" s="11" t="n">
        <f aca="false">P6*P7</f>
        <v>6291348.13331962</v>
      </c>
      <c r="Q8" s="11" t="n">
        <f aca="false">Q6*Q7</f>
        <v>6909248.39641351</v>
      </c>
      <c r="R8" s="11" t="n">
        <f aca="false">R6*R7</f>
        <v>7554111.58007877</v>
      </c>
      <c r="S8" s="11" t="n">
        <f aca="false">S6*S7</f>
        <v>8710834.91577833</v>
      </c>
      <c r="T8" s="11" t="n">
        <f aca="false">T6*T7</f>
        <v>9424639.44359906</v>
      </c>
      <c r="U8" s="11" t="n">
        <f aca="false">U6*U7</f>
        <v>10168689.9259885</v>
      </c>
      <c r="V8" s="11" t="n">
        <f aca="false">V6*V7</f>
        <v>10944052.5328451</v>
      </c>
      <c r="W8" s="11" t="n">
        <f aca="false">W6*W7</f>
        <v>12286001.8315154</v>
      </c>
      <c r="X8" s="11" t="n">
        <f aca="false">X6*X7</f>
        <v>13140680.2197947</v>
      </c>
      <c r="Y8" s="11" t="n">
        <f aca="false">Y6*Y7</f>
        <v>14030413.7763433</v>
      </c>
      <c r="Z8" s="11" t="n">
        <f aca="false">Z6*Z7</f>
        <v>58675190.4126676</v>
      </c>
      <c r="AA8" s="11" t="n">
        <f aca="false">AA6*AA7</f>
        <v>78659269.9708644</v>
      </c>
      <c r="AB8" s="11" t="n">
        <f aca="false">AB6*AB7</f>
        <v>98891165.9215101</v>
      </c>
      <c r="AC8" s="11" t="n">
        <f aca="false">AC6*AC7</f>
        <v>123323101.03153</v>
      </c>
      <c r="AD8" s="11" t="n">
        <f aca="false">AD6*AD7</f>
        <v>163403108.866777</v>
      </c>
      <c r="AE8" s="11" t="n">
        <f aca="false">AE6*AE7</f>
        <v>207848754.478541</v>
      </c>
      <c r="AF8" s="11" t="n">
        <f aca="false">AF6*AF7</f>
        <v>257039626.371796</v>
      </c>
      <c r="AG8" s="11" t="n">
        <f aca="false">AG6*AG7</f>
        <v>311385147.376118</v>
      </c>
      <c r="AH8" s="11" t="n">
        <f aca="false">AH6*AH7</f>
        <v>385079632.255133</v>
      </c>
      <c r="AI8" s="11" t="n">
        <f aca="false">AI6*AI7</f>
        <v>466496468.789075</v>
      </c>
      <c r="AJ8" s="11" t="n">
        <f aca="false">AJ6*AJ7</f>
        <v>556297039.030972</v>
      </c>
      <c r="AK8" s="11" t="n">
        <f aca="false">AK6*AK7</f>
        <v>655194290.414256</v>
      </c>
      <c r="AL8" s="13" t="n">
        <f aca="false">SUM(B8:M8)</f>
        <v>24630794.9075174</v>
      </c>
      <c r="AM8" s="13" t="n">
        <f aca="false">SUM(N8:Y8)</f>
        <v>109864510.827436</v>
      </c>
      <c r="AN8" s="13" t="n">
        <f aca="false">SUM(Z8:AC8)</f>
        <v>359548727.336572</v>
      </c>
      <c r="AO8" s="13" t="n">
        <f aca="false">SUM(AD8:AG8)</f>
        <v>939676637.093232</v>
      </c>
      <c r="AP8" s="13" t="n">
        <f aca="false">SUM(AH8:AK8)</f>
        <v>2063067430.48944</v>
      </c>
    </row>
    <row r="9" customFormat="false" ht="15" hidden="false" customHeight="false" outlineLevel="0" collapsed="false">
      <c r="A9" s="5" t="s">
        <v>114</v>
      </c>
      <c r="B9" s="11" t="n">
        <f aca="false">B8*Assumptions!C16</f>
        <v>3000</v>
      </c>
      <c r="C9" s="11" t="n">
        <f aca="false">C8*Assumptions!C16</f>
        <v>6180</v>
      </c>
      <c r="D9" s="11" t="n">
        <f aca="false">D8*Assumptions!C16</f>
        <v>9548.1</v>
      </c>
      <c r="E9" s="11" t="n">
        <f aca="false">E8*Assumptions!C16</f>
        <v>9834.543</v>
      </c>
      <c r="F9" s="11" t="n">
        <f aca="false">F8*Assumptions!C16</f>
        <v>13506.10572</v>
      </c>
      <c r="G9" s="11" t="n">
        <f aca="false">G8*Assumptions!C16</f>
        <v>17389.1111145</v>
      </c>
      <c r="H9" s="11" t="n">
        <f aca="false">H8*Assumptions!C16</f>
        <v>21492.941337522</v>
      </c>
      <c r="I9" s="11" t="n">
        <f aca="false">I8*Assumptions!C16</f>
        <v>25827.3511739223</v>
      </c>
      <c r="J9" s="11" t="n">
        <f aca="false">J8*Assumptions!C16</f>
        <v>30402.4819533028</v>
      </c>
      <c r="K9" s="11" t="n">
        <f aca="false">K8*Assumptions!C16</f>
        <v>31314.5564119019</v>
      </c>
      <c r="L9" s="11" t="n">
        <f aca="false">L8*Assumptions!C16</f>
        <v>36285.7422422913</v>
      </c>
      <c r="M9" s="11" t="n">
        <f aca="false">M8*Assumptions!C16</f>
        <v>41527.0161217334</v>
      </c>
      <c r="N9" s="11" t="n">
        <f aca="false">N8*Assumptions!C17</f>
        <v>42345.0983393315</v>
      </c>
      <c r="O9" s="11" t="n">
        <f aca="false">O8*Assumptions!C17</f>
        <v>51295.3123065084</v>
      </c>
      <c r="P9" s="11" t="n">
        <f aca="false">P8*Assumptions!C17</f>
        <v>56622.1331998766</v>
      </c>
      <c r="Q9" s="11" t="n">
        <f aca="false">Q8*Assumptions!C17</f>
        <v>62183.2355677216</v>
      </c>
      <c r="R9" s="11" t="n">
        <f aca="false">R8*Assumptions!C17</f>
        <v>67987.0042207089</v>
      </c>
      <c r="S9" s="11" t="n">
        <f aca="false">S8*Assumptions!C17</f>
        <v>78397.514242005</v>
      </c>
      <c r="T9" s="11" t="n">
        <f aca="false">T8*Assumptions!C17</f>
        <v>84821.7549923915</v>
      </c>
      <c r="U9" s="11" t="n">
        <f aca="false">U8*Assumptions!C17</f>
        <v>91518.2093338961</v>
      </c>
      <c r="V9" s="11" t="n">
        <f aca="false">V8*Assumptions!C17</f>
        <v>98496.4727956056</v>
      </c>
      <c r="W9" s="11" t="n">
        <f aca="false">W8*Assumptions!C17</f>
        <v>110574.016483638</v>
      </c>
      <c r="X9" s="11" t="n">
        <f aca="false">X8*Assumptions!C17</f>
        <v>118266.121978152</v>
      </c>
      <c r="Y9" s="11" t="n">
        <f aca="false">Y8*Assumptions!C17</f>
        <v>126273.72398709</v>
      </c>
      <c r="Z9" s="11" t="n">
        <f aca="false">Z8*Assumptions!C18</f>
        <v>498739.118507675</v>
      </c>
      <c r="AA9" s="11" t="n">
        <f aca="false">AA8*Assumptions!C18</f>
        <v>668603.794752348</v>
      </c>
      <c r="AB9" s="11" t="n">
        <f aca="false">AB8*Assumptions!C18</f>
        <v>840574.910332836</v>
      </c>
      <c r="AC9" s="11" t="n">
        <f aca="false">AC8*Assumptions!C18</f>
        <v>1048246.35876801</v>
      </c>
      <c r="AD9" s="11" t="n">
        <f aca="false">AD8*Assumptions!C19</f>
        <v>1225523.31650083</v>
      </c>
      <c r="AE9" s="11" t="n">
        <f aca="false">AE8*Assumptions!C19</f>
        <v>1558865.65858906</v>
      </c>
      <c r="AF9" s="11" t="n">
        <f aca="false">AF8*Assumptions!C19</f>
        <v>1927797.19778847</v>
      </c>
      <c r="AG9" s="11" t="n">
        <f aca="false">AG8*Assumptions!C19</f>
        <v>2335388.60532089</v>
      </c>
      <c r="AH9" s="11" t="n">
        <f aca="false">AH8*Assumptions!C20</f>
        <v>2695557.42578593</v>
      </c>
      <c r="AI9" s="11" t="n">
        <f aca="false">AI8*Assumptions!C20</f>
        <v>3265475.28152353</v>
      </c>
      <c r="AJ9" s="11" t="n">
        <f aca="false">AJ8*Assumptions!C20</f>
        <v>3894079.27321681</v>
      </c>
      <c r="AK9" s="11" t="n">
        <f aca="false">AK8*Assumptions!C20</f>
        <v>4586360.03289979</v>
      </c>
      <c r="AL9" s="13" t="n">
        <f aca="false">SUM(B9:M9)</f>
        <v>246307.949075174</v>
      </c>
      <c r="AM9" s="13" t="n">
        <f aca="false">SUM(N9:Y9)</f>
        <v>988780.597446925</v>
      </c>
      <c r="AN9" s="13" t="n">
        <f aca="false">SUM(Z9:AC9)</f>
        <v>3056164.18236086</v>
      </c>
      <c r="AO9" s="13" t="n">
        <f aca="false">SUM(AD9:AG9)</f>
        <v>7047574.77819924</v>
      </c>
      <c r="AP9" s="13" t="n">
        <f aca="false">SUM(AH9:AK9)</f>
        <v>14441472.0134261</v>
      </c>
    </row>
    <row r="10" customFormat="false" ht="15" hidden="false" customHeight="false" outlineLevel="0" collapsed="false">
      <c r="A10" s="5" t="s">
        <v>115</v>
      </c>
      <c r="B10" s="11" t="n">
        <f aca="false">B9*Assumptions!C21</f>
        <v>1050</v>
      </c>
      <c r="C10" s="11" t="n">
        <f aca="false">C9*Assumptions!C21</f>
        <v>2163</v>
      </c>
      <c r="D10" s="11" t="n">
        <f aca="false">D9*Assumptions!C21</f>
        <v>3341.835</v>
      </c>
      <c r="E10" s="11" t="n">
        <f aca="false">E9*Assumptions!C21</f>
        <v>3442.09005</v>
      </c>
      <c r="F10" s="11" t="n">
        <f aca="false">F9*Assumptions!C21</f>
        <v>4727.137002</v>
      </c>
      <c r="G10" s="11" t="n">
        <f aca="false">G9*Assumptions!C21</f>
        <v>6086.188890075</v>
      </c>
      <c r="H10" s="11" t="n">
        <f aca="false">H9*Assumptions!C21</f>
        <v>7522.5294681327</v>
      </c>
      <c r="I10" s="11" t="n">
        <f aca="false">I9*Assumptions!C21</f>
        <v>9039.5729108728</v>
      </c>
      <c r="J10" s="11" t="n">
        <f aca="false">J9*Assumptions!C21</f>
        <v>10640.868683656</v>
      </c>
      <c r="K10" s="11" t="n">
        <f aca="false">K9*Assumptions!C21</f>
        <v>10960.0947441657</v>
      </c>
      <c r="L10" s="11" t="n">
        <f aca="false">L9*Assumptions!C21</f>
        <v>12700.009784802</v>
      </c>
      <c r="M10" s="11" t="n">
        <f aca="false">M9*Assumptions!C21</f>
        <v>14534.4556426067</v>
      </c>
      <c r="N10" s="11" t="n">
        <f aca="false">N9*Assumptions!C21</f>
        <v>14820.784418766</v>
      </c>
      <c r="O10" s="11" t="n">
        <f aca="false">O9*Assumptions!C21</f>
        <v>17953.3593072779</v>
      </c>
      <c r="P10" s="11" t="n">
        <f aca="false">P9*Assumptions!C21</f>
        <v>19817.7466199568</v>
      </c>
      <c r="Q10" s="11" t="n">
        <f aca="false">Q9*Assumptions!C21</f>
        <v>21764.1324487026</v>
      </c>
      <c r="R10" s="11" t="n">
        <f aca="false">R9*Assumptions!C21</f>
        <v>23795.4514772481</v>
      </c>
      <c r="S10" s="11" t="n">
        <f aca="false">S9*Assumptions!C21</f>
        <v>27439.1299847017</v>
      </c>
      <c r="T10" s="11" t="n">
        <f aca="false">T9*Assumptions!C21</f>
        <v>29687.614247337</v>
      </c>
      <c r="U10" s="11" t="n">
        <f aca="false">U9*Assumptions!C21</f>
        <v>32031.3732668636</v>
      </c>
      <c r="V10" s="11" t="n">
        <f aca="false">V9*Assumptions!C21</f>
        <v>34473.765478462</v>
      </c>
      <c r="W10" s="11" t="n">
        <f aca="false">W9*Assumptions!C21</f>
        <v>38700.9057692734</v>
      </c>
      <c r="X10" s="11" t="n">
        <f aca="false">X9*Assumptions!C21</f>
        <v>41393.1426923533</v>
      </c>
      <c r="Y10" s="11" t="n">
        <f aca="false">Y9*Assumptions!C21</f>
        <v>44195.8033954814</v>
      </c>
      <c r="Z10" s="11" t="n">
        <f aca="false">Z9*Assumptions!C21</f>
        <v>174558.691477686</v>
      </c>
      <c r="AA10" s="11" t="n">
        <f aca="false">AA9*Assumptions!C21</f>
        <v>234011.328163322</v>
      </c>
      <c r="AB10" s="11" t="n">
        <f aca="false">AB9*Assumptions!C21</f>
        <v>294201.218616492</v>
      </c>
      <c r="AC10" s="11" t="n">
        <f aca="false">AC9*Assumptions!C21</f>
        <v>366886.225568802</v>
      </c>
      <c r="AD10" s="11" t="n">
        <f aca="false">AD9*Assumptions!C21</f>
        <v>428933.160775291</v>
      </c>
      <c r="AE10" s="11" t="n">
        <f aca="false">AE9*Assumptions!C21</f>
        <v>545602.98050617</v>
      </c>
      <c r="AF10" s="11" t="n">
        <f aca="false">AF9*Assumptions!C21</f>
        <v>674729.019225964</v>
      </c>
      <c r="AG10" s="11" t="n">
        <f aca="false">AG9*Assumptions!C21</f>
        <v>817386.01186231</v>
      </c>
      <c r="AH10" s="11" t="n">
        <f aca="false">AH9*Assumptions!C21</f>
        <v>943445.099025076</v>
      </c>
      <c r="AI10" s="11" t="n">
        <f aca="false">AI9*Assumptions!C21</f>
        <v>1142916.34853323</v>
      </c>
      <c r="AJ10" s="11" t="n">
        <f aca="false">AJ9*Assumptions!C21</f>
        <v>1362927.74562588</v>
      </c>
      <c r="AK10" s="11" t="n">
        <f aca="false">AK9*Assumptions!C21</f>
        <v>1605226.01151493</v>
      </c>
      <c r="AL10" s="13" t="n">
        <f aca="false">SUM(B10:M10)</f>
        <v>86207.7821763108</v>
      </c>
      <c r="AM10" s="13" t="n">
        <f aca="false">SUM(N10:Y10)</f>
        <v>346073.209106424</v>
      </c>
      <c r="AN10" s="13" t="n">
        <f aca="false">SUM(Z10:AC10)</f>
        <v>1069657.4638263</v>
      </c>
      <c r="AO10" s="13" t="n">
        <f aca="false">SUM(AD10:AG10)</f>
        <v>2466651.17236973</v>
      </c>
      <c r="AP10" s="13" t="n">
        <f aca="false">SUM(AH10:AK10)</f>
        <v>5054515.20469912</v>
      </c>
    </row>
    <row r="11" customFormat="false" ht="15" hidden="false" customHeight="false" outlineLevel="0" collapsed="false">
      <c r="A11" s="5" t="s">
        <v>116</v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f aca="false">N9*Assumptions!C22</f>
        <v>2117.25491696658</v>
      </c>
      <c r="O11" s="11" t="n">
        <f aca="false">O9*Assumptions!C22</f>
        <v>2564.76561532542</v>
      </c>
      <c r="P11" s="11" t="n">
        <f aca="false">P9*Assumptions!C22</f>
        <v>2831.10665999383</v>
      </c>
      <c r="Q11" s="11" t="n">
        <f aca="false">Q9*Assumptions!C22</f>
        <v>3109.16177838608</v>
      </c>
      <c r="R11" s="11" t="n">
        <f aca="false">R9*Assumptions!C22</f>
        <v>3399.35021103545</v>
      </c>
      <c r="S11" s="11" t="n">
        <f aca="false">S9*Assumptions!C22</f>
        <v>3919.87571210025</v>
      </c>
      <c r="T11" s="11" t="n">
        <f aca="false">T9*Assumptions!C22</f>
        <v>4241.08774961958</v>
      </c>
      <c r="U11" s="11" t="n">
        <f aca="false">U9*Assumptions!C22</f>
        <v>4575.91046669481</v>
      </c>
      <c r="V11" s="11" t="n">
        <f aca="false">V9*Assumptions!C22</f>
        <v>4924.82363978028</v>
      </c>
      <c r="W11" s="11" t="n">
        <f aca="false">W9*Assumptions!C22</f>
        <v>5528.70082418191</v>
      </c>
      <c r="X11" s="11" t="n">
        <f aca="false">X9*Assumptions!C22</f>
        <v>5913.30609890761</v>
      </c>
      <c r="Y11" s="11" t="n">
        <f aca="false">Y9*Assumptions!C22</f>
        <v>6313.68619935448</v>
      </c>
      <c r="Z11" s="11" t="n">
        <f aca="false">Z9*Assumptions!C22</f>
        <v>24936.9559253837</v>
      </c>
      <c r="AA11" s="11" t="n">
        <f aca="false">AA9*Assumptions!C22</f>
        <v>33430.1897376174</v>
      </c>
      <c r="AB11" s="11" t="n">
        <f aca="false">AB9*Assumptions!C22</f>
        <v>42028.7455166418</v>
      </c>
      <c r="AC11" s="11" t="n">
        <f aca="false">AC9*Assumptions!C22</f>
        <v>52412.3179384003</v>
      </c>
      <c r="AD11" s="11" t="n">
        <f aca="false">AD9*Assumptions!C22</f>
        <v>61276.1658250416</v>
      </c>
      <c r="AE11" s="11" t="n">
        <f aca="false">AE9*Assumptions!C22</f>
        <v>77943.2829294529</v>
      </c>
      <c r="AF11" s="11" t="n">
        <f aca="false">AF9*Assumptions!C22</f>
        <v>96389.8598894234</v>
      </c>
      <c r="AG11" s="11" t="n">
        <f aca="false">AG9*Assumptions!C22</f>
        <v>116769.430266044</v>
      </c>
      <c r="AH11" s="11" t="n">
        <f aca="false">AH9*Assumptions!C22</f>
        <v>134777.871289297</v>
      </c>
      <c r="AI11" s="11" t="n">
        <f aca="false">AI9*Assumptions!C22</f>
        <v>163273.764076176</v>
      </c>
      <c r="AJ11" s="11" t="n">
        <f aca="false">AJ9*Assumptions!C22</f>
        <v>194703.96366084</v>
      </c>
      <c r="AK11" s="11" t="n">
        <f aca="false">AK9*Assumptions!C22</f>
        <v>229318.00164499</v>
      </c>
      <c r="AL11" s="13" t="n">
        <f aca="false">SUM(B11:M11)</f>
        <v>0</v>
      </c>
      <c r="AM11" s="13" t="n">
        <f aca="false">SUM(N11:Y11)</f>
        <v>49439.0298723463</v>
      </c>
      <c r="AN11" s="13" t="n">
        <f aca="false">SUM(Z11:AC11)</f>
        <v>152808.209118043</v>
      </c>
      <c r="AO11" s="13" t="n">
        <f aca="false">SUM(AD11:AG11)</f>
        <v>352378.738909962</v>
      </c>
      <c r="AP11" s="13" t="n">
        <f aca="false">SUM(AH11:AK11)</f>
        <v>722073.600671303</v>
      </c>
    </row>
    <row r="12" customFormat="false" ht="15" hidden="false" customHeight="false" outlineLevel="0" collapsed="false">
      <c r="A12" s="14" t="s">
        <v>117</v>
      </c>
      <c r="B12" s="11" t="n">
        <f aca="false">B9+B10+B11</f>
        <v>4050</v>
      </c>
      <c r="C12" s="11" t="n">
        <f aca="false">C9+C10+C11</f>
        <v>8343</v>
      </c>
      <c r="D12" s="11" t="n">
        <f aca="false">D9+D10+D11</f>
        <v>12889.935</v>
      </c>
      <c r="E12" s="11" t="n">
        <f aca="false">E9+E10+E11</f>
        <v>13276.63305</v>
      </c>
      <c r="F12" s="11" t="n">
        <f aca="false">F9+F10+F11</f>
        <v>18233.242722</v>
      </c>
      <c r="G12" s="11" t="n">
        <f aca="false">G9+G10+G11</f>
        <v>23475.300004575</v>
      </c>
      <c r="H12" s="11" t="n">
        <f aca="false">H9+H10+H11</f>
        <v>29015.4708056547</v>
      </c>
      <c r="I12" s="11" t="n">
        <f aca="false">I9+I10+I11</f>
        <v>34866.9240847951</v>
      </c>
      <c r="J12" s="11" t="n">
        <f aca="false">J9+J10+J11</f>
        <v>41043.3506369588</v>
      </c>
      <c r="K12" s="11" t="n">
        <f aca="false">K9+K10+K11</f>
        <v>42274.6511560675</v>
      </c>
      <c r="L12" s="11" t="n">
        <f aca="false">L9+L10+L11</f>
        <v>48985.7520270933</v>
      </c>
      <c r="M12" s="11" t="n">
        <f aca="false">M9+M10+M11</f>
        <v>56061.4717643401</v>
      </c>
      <c r="N12" s="11" t="n">
        <f aca="false">N9+N10+N11</f>
        <v>59283.1376750641</v>
      </c>
      <c r="O12" s="11" t="n">
        <f aca="false">O9+O10+O11</f>
        <v>71813.4372291118</v>
      </c>
      <c r="P12" s="11" t="n">
        <f aca="false">P9+P10+P11</f>
        <v>79270.9864798272</v>
      </c>
      <c r="Q12" s="11" t="n">
        <f aca="false">Q9+Q10+Q11</f>
        <v>87056.5297948102</v>
      </c>
      <c r="R12" s="11" t="n">
        <f aca="false">R9+R10+R11</f>
        <v>95181.8059089925</v>
      </c>
      <c r="S12" s="11" t="n">
        <f aca="false">S9+S10+S11</f>
        <v>109756.519938807</v>
      </c>
      <c r="T12" s="11" t="n">
        <f aca="false">T9+T10+T11</f>
        <v>118750.456989348</v>
      </c>
      <c r="U12" s="11" t="n">
        <f aca="false">U9+U10+U11</f>
        <v>128125.493067455</v>
      </c>
      <c r="V12" s="11" t="n">
        <f aca="false">V9+V10+V11</f>
        <v>137895.061913848</v>
      </c>
      <c r="W12" s="11" t="n">
        <f aca="false">W9+W10+W11</f>
        <v>154803.623077094</v>
      </c>
      <c r="X12" s="11" t="n">
        <f aca="false">X9+X10+X11</f>
        <v>165572.570769413</v>
      </c>
      <c r="Y12" s="11" t="n">
        <f aca="false">Y9+Y10+Y11</f>
        <v>176783.213581925</v>
      </c>
      <c r="Z12" s="11" t="n">
        <f aca="false">Z9+Z10+Z11</f>
        <v>698234.765910745</v>
      </c>
      <c r="AA12" s="11" t="n">
        <f aca="false">AA9+AA10+AA11</f>
        <v>936045.312653287</v>
      </c>
      <c r="AB12" s="11" t="n">
        <f aca="false">AB9+AB10+AB11</f>
        <v>1176804.87446597</v>
      </c>
      <c r="AC12" s="11" t="n">
        <f aca="false">AC9+AC10+AC11</f>
        <v>1467544.90227521</v>
      </c>
      <c r="AD12" s="11" t="n">
        <f aca="false">AD9+AD10+AD11</f>
        <v>1715732.64310116</v>
      </c>
      <c r="AE12" s="11" t="n">
        <f aca="false">AE9+AE10+AE11</f>
        <v>2182411.92202468</v>
      </c>
      <c r="AF12" s="11" t="n">
        <f aca="false">AF9+AF10+AF11</f>
        <v>2698916.07690385</v>
      </c>
      <c r="AG12" s="11" t="n">
        <f aca="false">AG9+AG10+AG11</f>
        <v>3269544.04744924</v>
      </c>
      <c r="AH12" s="11" t="n">
        <f aca="false">AH9+AH10+AH11</f>
        <v>3773780.3961003</v>
      </c>
      <c r="AI12" s="11" t="n">
        <f aca="false">AI9+AI10+AI11</f>
        <v>4571665.39413294</v>
      </c>
      <c r="AJ12" s="11" t="n">
        <f aca="false">AJ9+AJ10+AJ11</f>
        <v>5451710.98250353</v>
      </c>
      <c r="AK12" s="11" t="n">
        <f aca="false">AK9+AK10+AK11</f>
        <v>6420904.04605971</v>
      </c>
      <c r="AL12" s="13" t="n">
        <f aca="false">SUM(B12:M12)</f>
        <v>332515.731251484</v>
      </c>
      <c r="AM12" s="13" t="n">
        <f aca="false">SUM(N12:Y12)</f>
        <v>1384292.8364257</v>
      </c>
      <c r="AN12" s="13" t="n">
        <f aca="false">SUM(Z12:AC12)</f>
        <v>4278629.85530521</v>
      </c>
      <c r="AO12" s="13" t="n">
        <f aca="false">SUM(AD12:AG12)</f>
        <v>9866604.68947894</v>
      </c>
      <c r="AP12" s="13" t="n">
        <f aca="false">SUM(AH12:AK12)</f>
        <v>20218060.8187965</v>
      </c>
    </row>
    <row r="14" customFormat="false" ht="15" hidden="false" customHeight="false" outlineLevel="0" collapsed="false">
      <c r="A14" s="3" t="s">
        <v>118</v>
      </c>
    </row>
    <row r="15" customFormat="false" ht="15" hidden="false" customHeight="false" outlineLevel="0" collapsed="false">
      <c r="A15" s="5" t="s">
        <v>119</v>
      </c>
      <c r="B15" s="11" t="n">
        <f aca="false">B12*Assumptions!C25</f>
        <v>1417.5</v>
      </c>
      <c r="C15" s="11" t="n">
        <f aca="false">C12*Assumptions!C25</f>
        <v>2920.05</v>
      </c>
      <c r="D15" s="11" t="n">
        <f aca="false">D12*Assumptions!C25</f>
        <v>4511.47725</v>
      </c>
      <c r="E15" s="11" t="n">
        <f aca="false">E12*Assumptions!C25</f>
        <v>4646.8215675</v>
      </c>
      <c r="F15" s="11" t="n">
        <f aca="false">F12*Assumptions!C25</f>
        <v>6381.6349527</v>
      </c>
      <c r="G15" s="11" t="n">
        <f aca="false">G12*Assumptions!C25</f>
        <v>8216.35500160125</v>
      </c>
      <c r="H15" s="11" t="n">
        <f aca="false">H12*Assumptions!C25</f>
        <v>10155.4147819791</v>
      </c>
      <c r="I15" s="11" t="n">
        <f aca="false">I12*Assumptions!C25</f>
        <v>12203.4234296783</v>
      </c>
      <c r="J15" s="11" t="n">
        <f aca="false">J12*Assumptions!C25</f>
        <v>14365.1727229356</v>
      </c>
      <c r="K15" s="11" t="n">
        <f aca="false">K12*Assumptions!C25</f>
        <v>14796.1279046236</v>
      </c>
      <c r="L15" s="11" t="n">
        <f aca="false">L12*Assumptions!C25</f>
        <v>17145.0132094826</v>
      </c>
      <c r="M15" s="11" t="n">
        <f aca="false">M12*Assumptions!C25</f>
        <v>19621.515117519</v>
      </c>
      <c r="N15" s="11" t="n">
        <f aca="false">N12*Assumptions!C26</f>
        <v>17784.9413025192</v>
      </c>
      <c r="O15" s="11" t="n">
        <f aca="false">O12*Assumptions!C26</f>
        <v>21544.0311687335</v>
      </c>
      <c r="P15" s="11" t="n">
        <f aca="false">P12*Assumptions!C26</f>
        <v>23781.2959439482</v>
      </c>
      <c r="Q15" s="11" t="n">
        <f aca="false">Q12*Assumptions!C26</f>
        <v>26116.9589384431</v>
      </c>
      <c r="R15" s="11" t="n">
        <f aca="false">R12*Assumptions!C26</f>
        <v>28554.5417726978</v>
      </c>
      <c r="S15" s="11" t="n">
        <f aca="false">S12*Assumptions!C26</f>
        <v>32926.9559816421</v>
      </c>
      <c r="T15" s="11" t="n">
        <f aca="false">T12*Assumptions!C26</f>
        <v>35625.1370968044</v>
      </c>
      <c r="U15" s="11" t="n">
        <f aca="false">U12*Assumptions!C26</f>
        <v>38437.6479202364</v>
      </c>
      <c r="V15" s="11" t="n">
        <f aca="false">V12*Assumptions!C26</f>
        <v>41368.5185741544</v>
      </c>
      <c r="W15" s="11" t="n">
        <f aca="false">W12*Assumptions!C26</f>
        <v>46441.0869231281</v>
      </c>
      <c r="X15" s="11" t="n">
        <f aca="false">X12*Assumptions!C26</f>
        <v>49671.7712308239</v>
      </c>
      <c r="Y15" s="11" t="n">
        <f aca="false">Y12*Assumptions!C26</f>
        <v>53034.9640745776</v>
      </c>
      <c r="Z15" s="11" t="n">
        <f aca="false">Z12*Assumptions!C27</f>
        <v>195505.734455009</v>
      </c>
      <c r="AA15" s="11" t="n">
        <f aca="false">AA12*Assumptions!C27</f>
        <v>262092.68754292</v>
      </c>
      <c r="AB15" s="11" t="n">
        <f aca="false">AB12*Assumptions!C27</f>
        <v>329505.364850472</v>
      </c>
      <c r="AC15" s="11" t="n">
        <f aca="false">AC12*Assumptions!C27</f>
        <v>410912.572637059</v>
      </c>
      <c r="AD15" s="11" t="n">
        <f aca="false">AD12*Assumptions!C28</f>
        <v>428933.160775291</v>
      </c>
      <c r="AE15" s="11" t="n">
        <f aca="false">AE12*Assumptions!C28</f>
        <v>545602.98050617</v>
      </c>
      <c r="AF15" s="11" t="n">
        <f aca="false">AF12*Assumptions!C28</f>
        <v>674729.019225964</v>
      </c>
      <c r="AG15" s="11" t="n">
        <f aca="false">AG12*Assumptions!C28</f>
        <v>817386.01186231</v>
      </c>
      <c r="AH15" s="11" t="n">
        <f aca="false">AH12*Assumptions!C29</f>
        <v>830231.687142067</v>
      </c>
      <c r="AI15" s="11" t="n">
        <f aca="false">AI12*Assumptions!C29</f>
        <v>1005766.38670925</v>
      </c>
      <c r="AJ15" s="11" t="n">
        <f aca="false">AJ12*Assumptions!C29</f>
        <v>1199376.41615078</v>
      </c>
      <c r="AK15" s="11" t="n">
        <f aca="false">AK12*Assumptions!C29</f>
        <v>1412598.89013314</v>
      </c>
      <c r="AL15" s="13" t="n">
        <f aca="false">SUM(B15:M15)</f>
        <v>116380.50593802</v>
      </c>
      <c r="AM15" s="13" t="n">
        <f aca="false">SUM(N15:Y15)</f>
        <v>415287.850927709</v>
      </c>
      <c r="AN15" s="13" t="n">
        <f aca="false">SUM(Z15:AC15)</f>
        <v>1198016.35948546</v>
      </c>
      <c r="AO15" s="13" t="n">
        <f aca="false">SUM(AD15:AG15)</f>
        <v>2466651.17236973</v>
      </c>
      <c r="AP15" s="13" t="n">
        <f aca="false">SUM(AH15:AK15)</f>
        <v>4447973.38013523</v>
      </c>
    </row>
    <row r="16" customFormat="false" ht="15" hidden="false" customHeight="false" outlineLevel="0" collapsed="false">
      <c r="A16" s="14" t="s">
        <v>120</v>
      </c>
      <c r="B16" s="11" t="n">
        <f aca="false">B12-B15</f>
        <v>2632.5</v>
      </c>
      <c r="C16" s="11" t="n">
        <f aca="false">C12-C15</f>
        <v>5422.95</v>
      </c>
      <c r="D16" s="11" t="n">
        <f aca="false">D12-D15</f>
        <v>8378.45775</v>
      </c>
      <c r="E16" s="11" t="n">
        <f aca="false">E12-E15</f>
        <v>8629.8114825</v>
      </c>
      <c r="F16" s="11" t="n">
        <f aca="false">F12-F15</f>
        <v>11851.6077693</v>
      </c>
      <c r="G16" s="11" t="n">
        <f aca="false">G12-G15</f>
        <v>15258.9450029737</v>
      </c>
      <c r="H16" s="11" t="n">
        <f aca="false">H12-H15</f>
        <v>18860.0560236756</v>
      </c>
      <c r="I16" s="11" t="n">
        <f aca="false">I12-I15</f>
        <v>22663.5006551168</v>
      </c>
      <c r="J16" s="11" t="n">
        <f aca="false">J12-J15</f>
        <v>26678.1779140232</v>
      </c>
      <c r="K16" s="11" t="n">
        <f aca="false">K12-K15</f>
        <v>27478.5232514439</v>
      </c>
      <c r="L16" s="11" t="n">
        <f aca="false">L12-L15</f>
        <v>31840.7388176106</v>
      </c>
      <c r="M16" s="11" t="n">
        <f aca="false">M12-M15</f>
        <v>36439.956646821</v>
      </c>
      <c r="N16" s="11" t="n">
        <f aca="false">N12-N15</f>
        <v>41498.1963725449</v>
      </c>
      <c r="O16" s="11" t="n">
        <f aca="false">O12-O15</f>
        <v>50269.4060603782</v>
      </c>
      <c r="P16" s="11" t="n">
        <f aca="false">P12-P15</f>
        <v>55489.6905358791</v>
      </c>
      <c r="Q16" s="11" t="n">
        <f aca="false">Q12-Q15</f>
        <v>60939.5708563672</v>
      </c>
      <c r="R16" s="11" t="n">
        <f aca="false">R12-R15</f>
        <v>66627.2641362948</v>
      </c>
      <c r="S16" s="11" t="n">
        <f aca="false">S12-S15</f>
        <v>76829.5639571649</v>
      </c>
      <c r="T16" s="11" t="n">
        <f aca="false">T12-T15</f>
        <v>83125.3198925437</v>
      </c>
      <c r="U16" s="11" t="n">
        <f aca="false">U12-U15</f>
        <v>89687.8451472182</v>
      </c>
      <c r="V16" s="11" t="n">
        <f aca="false">V12-V15</f>
        <v>96526.5433396935</v>
      </c>
      <c r="W16" s="11" t="n">
        <f aca="false">W12-W15</f>
        <v>108362.536153966</v>
      </c>
      <c r="X16" s="11" t="n">
        <f aca="false">X12-X15</f>
        <v>115900.799538589</v>
      </c>
      <c r="Y16" s="11" t="n">
        <f aca="false">Y12-Y15</f>
        <v>123748.249507348</v>
      </c>
      <c r="Z16" s="11" t="n">
        <f aca="false">Z12-Z15</f>
        <v>502729.031455736</v>
      </c>
      <c r="AA16" s="11" t="n">
        <f aca="false">AA12-AA15</f>
        <v>673952.625110367</v>
      </c>
      <c r="AB16" s="11" t="n">
        <f aca="false">AB12-AB15</f>
        <v>847299.509615498</v>
      </c>
      <c r="AC16" s="11" t="n">
        <f aca="false">AC12-AC15</f>
        <v>1056632.32963815</v>
      </c>
      <c r="AD16" s="11" t="n">
        <f aca="false">AD12-AD15</f>
        <v>1286799.48232587</v>
      </c>
      <c r="AE16" s="11" t="n">
        <f aca="false">AE12-AE15</f>
        <v>1636808.94151851</v>
      </c>
      <c r="AF16" s="11" t="n">
        <f aca="false">AF12-AF15</f>
        <v>2024187.05767789</v>
      </c>
      <c r="AG16" s="11" t="n">
        <f aca="false">AG12-AG15</f>
        <v>2452158.03558693</v>
      </c>
      <c r="AH16" s="11" t="n">
        <f aca="false">AH12-AH15</f>
        <v>2943548.70895824</v>
      </c>
      <c r="AI16" s="11" t="n">
        <f aca="false">AI12-AI15</f>
        <v>3565899.00742369</v>
      </c>
      <c r="AJ16" s="11" t="n">
        <f aca="false">AJ12-AJ15</f>
        <v>4252334.56635275</v>
      </c>
      <c r="AK16" s="11" t="n">
        <f aca="false">AK12-AK15</f>
        <v>5008305.15592658</v>
      </c>
      <c r="AL16" s="13" t="n">
        <f aca="false">SUM(B16:M16)</f>
        <v>216135.225313465</v>
      </c>
      <c r="AM16" s="13" t="n">
        <f aca="false">SUM(N16:Y16)</f>
        <v>969004.985497987</v>
      </c>
      <c r="AN16" s="13" t="n">
        <f aca="false">SUM(Z16:AC16)</f>
        <v>3080613.49581975</v>
      </c>
      <c r="AO16" s="13" t="n">
        <f aca="false">SUM(AD16:AG16)</f>
        <v>7399953.5171092</v>
      </c>
      <c r="AP16" s="13" t="n">
        <f aca="false">SUM(AH16:AK16)</f>
        <v>15770087.4386613</v>
      </c>
    </row>
    <row r="17" customFormat="false" ht="15" hidden="false" customHeight="false" outlineLevel="0" collapsed="false">
      <c r="A17" s="5" t="s">
        <v>121</v>
      </c>
      <c r="B17" s="15" t="n">
        <f aca="false">IF(B12=0,0,B16/B12)</f>
        <v>0.65</v>
      </c>
      <c r="C17" s="15" t="n">
        <f aca="false">IF(C12=0,0,C16/C12)</f>
        <v>0.65</v>
      </c>
      <c r="D17" s="15" t="n">
        <f aca="false">IF(D12=0,0,D16/D12)</f>
        <v>0.65</v>
      </c>
      <c r="E17" s="15" t="n">
        <f aca="false">IF(E12=0,0,E16/E12)</f>
        <v>0.65</v>
      </c>
      <c r="F17" s="15" t="n">
        <f aca="false">IF(F12=0,0,F16/F12)</f>
        <v>0.65</v>
      </c>
      <c r="G17" s="15" t="n">
        <f aca="false">IF(G12=0,0,G16/G12)</f>
        <v>0.65</v>
      </c>
      <c r="H17" s="15" t="n">
        <f aca="false">IF(H12=0,0,H16/H12)</f>
        <v>0.65</v>
      </c>
      <c r="I17" s="15" t="n">
        <f aca="false">IF(I12=0,0,I16/I12)</f>
        <v>0.65</v>
      </c>
      <c r="J17" s="15" t="n">
        <f aca="false">IF(J12=0,0,J16/J12)</f>
        <v>0.65</v>
      </c>
      <c r="K17" s="15" t="n">
        <f aca="false">IF(K12=0,0,K16/K12)</f>
        <v>0.65</v>
      </c>
      <c r="L17" s="15" t="n">
        <f aca="false">IF(L12=0,0,L16/L12)</f>
        <v>0.65</v>
      </c>
      <c r="M17" s="15" t="n">
        <f aca="false">IF(M12=0,0,M16/M12)</f>
        <v>0.65</v>
      </c>
      <c r="N17" s="15" t="n">
        <f aca="false">IF(N12=0,0,N16/N12)</f>
        <v>0.7</v>
      </c>
      <c r="O17" s="15" t="n">
        <f aca="false">IF(O12=0,0,O16/O12)</f>
        <v>0.7</v>
      </c>
      <c r="P17" s="15" t="n">
        <f aca="false">IF(P12=0,0,P16/P12)</f>
        <v>0.7</v>
      </c>
      <c r="Q17" s="15" t="n">
        <f aca="false">IF(Q12=0,0,Q16/Q12)</f>
        <v>0.7</v>
      </c>
      <c r="R17" s="15" t="n">
        <f aca="false">IF(R12=0,0,R16/R12)</f>
        <v>0.7</v>
      </c>
      <c r="S17" s="15" t="n">
        <f aca="false">IF(S12=0,0,S16/S12)</f>
        <v>0.7</v>
      </c>
      <c r="T17" s="15" t="n">
        <f aca="false">IF(T12=0,0,T16/T12)</f>
        <v>0.7</v>
      </c>
      <c r="U17" s="15" t="n">
        <f aca="false">IF(U12=0,0,U16/U12)</f>
        <v>0.7</v>
      </c>
      <c r="V17" s="15" t="n">
        <f aca="false">IF(V12=0,0,V16/V12)</f>
        <v>0.7</v>
      </c>
      <c r="W17" s="15" t="n">
        <f aca="false">IF(W12=0,0,W16/W12)</f>
        <v>0.7</v>
      </c>
      <c r="X17" s="15" t="n">
        <f aca="false">IF(X12=0,0,X16/X12)</f>
        <v>0.7</v>
      </c>
      <c r="Y17" s="15" t="n">
        <f aca="false">IF(Y12=0,0,Y16/Y12)</f>
        <v>0.7</v>
      </c>
      <c r="Z17" s="15" t="n">
        <f aca="false">IF(Z12=0,0,Z16/Z12)</f>
        <v>0.72</v>
      </c>
      <c r="AA17" s="15" t="n">
        <f aca="false">IF(AA12=0,0,AA16/AA12)</f>
        <v>0.72</v>
      </c>
      <c r="AB17" s="15" t="n">
        <f aca="false">IF(AB12=0,0,AB16/AB12)</f>
        <v>0.72</v>
      </c>
      <c r="AC17" s="15" t="n">
        <f aca="false">IF(AC12=0,0,AC16/AC12)</f>
        <v>0.72</v>
      </c>
      <c r="AD17" s="15" t="n">
        <f aca="false">IF(AD12=0,0,AD16/AD12)</f>
        <v>0.75</v>
      </c>
      <c r="AE17" s="15" t="n">
        <f aca="false">IF(AE12=0,0,AE16/AE12)</f>
        <v>0.75</v>
      </c>
      <c r="AF17" s="15" t="n">
        <f aca="false">IF(AF12=0,0,AF16/AF12)</f>
        <v>0.75</v>
      </c>
      <c r="AG17" s="15" t="n">
        <f aca="false">IF(AG12=0,0,AG16/AG12)</f>
        <v>0.75</v>
      </c>
      <c r="AH17" s="15" t="n">
        <f aca="false">IF(AH12=0,0,AH16/AH12)</f>
        <v>0.78</v>
      </c>
      <c r="AI17" s="15" t="n">
        <f aca="false">IF(AI12=0,0,AI16/AI12)</f>
        <v>0.78</v>
      </c>
      <c r="AJ17" s="15" t="n">
        <f aca="false">IF(AJ12=0,0,AJ16/AJ12)</f>
        <v>0.78</v>
      </c>
      <c r="AK17" s="15" t="n">
        <f aca="false">IF(AK12=0,0,AK16/AK12)</f>
        <v>0.78</v>
      </c>
      <c r="AL17" s="16" t="n">
        <f aca="false">IF(AL12=0,0,AL16/AL12)</f>
        <v>0.65</v>
      </c>
      <c r="AM17" s="16" t="n">
        <f aca="false">IF(AM12=0,0,AM16/AM12)</f>
        <v>0.7</v>
      </c>
      <c r="AN17" s="16" t="n">
        <f aca="false">IF(AN12=0,0,AN16/AN12)</f>
        <v>0.72</v>
      </c>
      <c r="AO17" s="16" t="n">
        <f aca="false">IF(AO12=0,0,AO16/AO12)</f>
        <v>0.75</v>
      </c>
      <c r="AP17" s="16" t="n">
        <f aca="false">IF(AP12=0,0,AP16/AP12)</f>
        <v>0.78</v>
      </c>
    </row>
    <row r="19" customFormat="false" ht="15" hidden="false" customHeight="false" outlineLevel="0" collapsed="false">
      <c r="A19" s="3" t="s">
        <v>122</v>
      </c>
    </row>
    <row r="20" customFormat="false" ht="15" hidden="false" customHeight="false" outlineLevel="0" collapsed="false">
      <c r="A20" s="5" t="s">
        <v>123</v>
      </c>
      <c r="B20" s="11" t="n">
        <f aca="false">Assumptions!C30</f>
        <v>37500</v>
      </c>
      <c r="C20" s="11" t="n">
        <f aca="false">Assumptions!C30</f>
        <v>37500</v>
      </c>
      <c r="D20" s="11" t="n">
        <f aca="false">Assumptions!C30</f>
        <v>37500</v>
      </c>
      <c r="E20" s="11" t="n">
        <f aca="false">Assumptions!C30</f>
        <v>37500</v>
      </c>
      <c r="F20" s="11" t="n">
        <f aca="false">Assumptions!C30</f>
        <v>37500</v>
      </c>
      <c r="G20" s="11" t="n">
        <f aca="false">Assumptions!C30</f>
        <v>37500</v>
      </c>
      <c r="H20" s="11" t="n">
        <f aca="false">Assumptions!C30</f>
        <v>37500</v>
      </c>
      <c r="I20" s="11" t="n">
        <f aca="false">Assumptions!C30</f>
        <v>37500</v>
      </c>
      <c r="J20" s="11" t="n">
        <f aca="false">Assumptions!C30</f>
        <v>37500</v>
      </c>
      <c r="K20" s="11" t="n">
        <f aca="false">Assumptions!C30</f>
        <v>37500</v>
      </c>
      <c r="L20" s="11" t="n">
        <f aca="false">Assumptions!C30</f>
        <v>37500</v>
      </c>
      <c r="M20" s="11" t="n">
        <f aca="false">Assumptions!C30</f>
        <v>37500</v>
      </c>
      <c r="N20" s="11" t="n">
        <f aca="false">Assumptions!C31</f>
        <v>100000</v>
      </c>
      <c r="O20" s="11" t="n">
        <f aca="false">Assumptions!C31</f>
        <v>100000</v>
      </c>
      <c r="P20" s="11" t="n">
        <f aca="false">Assumptions!C31</f>
        <v>100000</v>
      </c>
      <c r="Q20" s="11" t="n">
        <f aca="false">Assumptions!C31</f>
        <v>100000</v>
      </c>
      <c r="R20" s="11" t="n">
        <f aca="false">Assumptions!C31</f>
        <v>100000</v>
      </c>
      <c r="S20" s="11" t="n">
        <f aca="false">Assumptions!C31</f>
        <v>100000</v>
      </c>
      <c r="T20" s="11" t="n">
        <f aca="false">Assumptions!C31</f>
        <v>100000</v>
      </c>
      <c r="U20" s="11" t="n">
        <f aca="false">Assumptions!C31</f>
        <v>100000</v>
      </c>
      <c r="V20" s="11" t="n">
        <f aca="false">Assumptions!C31</f>
        <v>100000</v>
      </c>
      <c r="W20" s="11" t="n">
        <f aca="false">Assumptions!C31</f>
        <v>100000</v>
      </c>
      <c r="X20" s="11" t="n">
        <f aca="false">Assumptions!C31</f>
        <v>100000</v>
      </c>
      <c r="Y20" s="11" t="n">
        <f aca="false">Assumptions!C31</f>
        <v>100000</v>
      </c>
      <c r="Z20" s="11" t="n">
        <f aca="false">Assumptions!C32*3</f>
        <v>549000</v>
      </c>
      <c r="AA20" s="11" t="n">
        <f aca="false">Assumptions!C32*3</f>
        <v>549000</v>
      </c>
      <c r="AB20" s="11" t="n">
        <f aca="false">Assumptions!C32*3</f>
        <v>549000</v>
      </c>
      <c r="AC20" s="11" t="n">
        <f aca="false">Assumptions!C32*3</f>
        <v>549000</v>
      </c>
      <c r="AD20" s="11" t="n">
        <f aca="false">Assumptions!C33*3</f>
        <v>999000</v>
      </c>
      <c r="AE20" s="11" t="n">
        <f aca="false">Assumptions!C33*3</f>
        <v>999000</v>
      </c>
      <c r="AF20" s="11" t="n">
        <f aca="false">Assumptions!C33*3</f>
        <v>999000</v>
      </c>
      <c r="AG20" s="11" t="n">
        <f aca="false">Assumptions!C33*3</f>
        <v>999000</v>
      </c>
      <c r="AH20" s="11" t="n">
        <f aca="false">Assumptions!C34*3</f>
        <v>1626000</v>
      </c>
      <c r="AI20" s="11" t="n">
        <f aca="false">Assumptions!C34*3</f>
        <v>1626000</v>
      </c>
      <c r="AJ20" s="11" t="n">
        <f aca="false">Assumptions!C34*3</f>
        <v>1626000</v>
      </c>
      <c r="AK20" s="11" t="n">
        <f aca="false">Assumptions!C34*3</f>
        <v>1626000</v>
      </c>
      <c r="AL20" s="13" t="n">
        <f aca="false">SUM(B20:M20)</f>
        <v>450000</v>
      </c>
      <c r="AM20" s="13" t="n">
        <f aca="false">SUM(N20:Y20)</f>
        <v>1200000</v>
      </c>
      <c r="AN20" s="13" t="n">
        <f aca="false">SUM(Z20:AC20)</f>
        <v>2196000</v>
      </c>
      <c r="AO20" s="13" t="n">
        <f aca="false">SUM(AD20:AG20)</f>
        <v>3996000</v>
      </c>
      <c r="AP20" s="13" t="n">
        <f aca="false">SUM(AH20:AK20)</f>
        <v>6504000</v>
      </c>
    </row>
    <row r="21" customFormat="false" ht="15" hidden="false" customHeight="false" outlineLevel="0" collapsed="false">
      <c r="A21" s="5" t="s">
        <v>124</v>
      </c>
      <c r="B21" s="11" t="n">
        <f aca="false">Assumptions!C35</f>
        <v>10000</v>
      </c>
      <c r="C21" s="11" t="n">
        <f aca="false">Assumptions!C35</f>
        <v>10000</v>
      </c>
      <c r="D21" s="11" t="n">
        <f aca="false">Assumptions!C35</f>
        <v>10000</v>
      </c>
      <c r="E21" s="11" t="n">
        <f aca="false">Assumptions!C35</f>
        <v>10000</v>
      </c>
      <c r="F21" s="11" t="n">
        <f aca="false">Assumptions!C35</f>
        <v>10000</v>
      </c>
      <c r="G21" s="11" t="n">
        <f aca="false">Assumptions!C35</f>
        <v>10000</v>
      </c>
      <c r="H21" s="11" t="n">
        <f aca="false">Assumptions!C35</f>
        <v>10000</v>
      </c>
      <c r="I21" s="11" t="n">
        <f aca="false">Assumptions!C35</f>
        <v>10000</v>
      </c>
      <c r="J21" s="11" t="n">
        <f aca="false">Assumptions!C35</f>
        <v>10000</v>
      </c>
      <c r="K21" s="11" t="n">
        <f aca="false">Assumptions!C35</f>
        <v>10000</v>
      </c>
      <c r="L21" s="11" t="n">
        <f aca="false">Assumptions!C35</f>
        <v>10000</v>
      </c>
      <c r="M21" s="11" t="n">
        <f aca="false">Assumptions!C35</f>
        <v>10000</v>
      </c>
      <c r="N21" s="11" t="n">
        <f aca="false">Assumptions!C36</f>
        <v>21000</v>
      </c>
      <c r="O21" s="11" t="n">
        <f aca="false">Assumptions!C36</f>
        <v>21000</v>
      </c>
      <c r="P21" s="11" t="n">
        <f aca="false">Assumptions!C36</f>
        <v>21000</v>
      </c>
      <c r="Q21" s="11" t="n">
        <f aca="false">Assumptions!C36</f>
        <v>21000</v>
      </c>
      <c r="R21" s="11" t="n">
        <f aca="false">Assumptions!C36</f>
        <v>21000</v>
      </c>
      <c r="S21" s="11" t="n">
        <f aca="false">Assumptions!C36</f>
        <v>21000</v>
      </c>
      <c r="T21" s="11" t="n">
        <f aca="false">Assumptions!C36</f>
        <v>21000</v>
      </c>
      <c r="U21" s="11" t="n">
        <f aca="false">Assumptions!C36</f>
        <v>21000</v>
      </c>
      <c r="V21" s="11" t="n">
        <f aca="false">Assumptions!C36</f>
        <v>21000</v>
      </c>
      <c r="W21" s="11" t="n">
        <f aca="false">Assumptions!C36</f>
        <v>21000</v>
      </c>
      <c r="X21" s="11" t="n">
        <f aca="false">Assumptions!C36</f>
        <v>21000</v>
      </c>
      <c r="Y21" s="11" t="n">
        <f aca="false">Assumptions!C36</f>
        <v>21000</v>
      </c>
      <c r="Z21" s="11" t="n">
        <f aca="false">Assumptions!C37*3</f>
        <v>112500</v>
      </c>
      <c r="AA21" s="11" t="n">
        <f aca="false">Assumptions!C37*3</f>
        <v>112500</v>
      </c>
      <c r="AB21" s="11" t="n">
        <f aca="false">Assumptions!C37*3</f>
        <v>112500</v>
      </c>
      <c r="AC21" s="11" t="n">
        <f aca="false">Assumptions!C37*3</f>
        <v>112500</v>
      </c>
      <c r="AD21" s="11" t="n">
        <f aca="false">Assumptions!C38*3</f>
        <v>201000</v>
      </c>
      <c r="AE21" s="11" t="n">
        <f aca="false">Assumptions!C38*3</f>
        <v>201000</v>
      </c>
      <c r="AF21" s="11" t="n">
        <f aca="false">Assumptions!C38*3</f>
        <v>201000</v>
      </c>
      <c r="AG21" s="11" t="n">
        <f aca="false">Assumptions!C38*3</f>
        <v>201000</v>
      </c>
      <c r="AH21" s="11" t="n">
        <f aca="false">Assumptions!C39*3</f>
        <v>300000</v>
      </c>
      <c r="AI21" s="11" t="n">
        <f aca="false">Assumptions!C39*3</f>
        <v>300000</v>
      </c>
      <c r="AJ21" s="11" t="n">
        <f aca="false">Assumptions!C39*3</f>
        <v>300000</v>
      </c>
      <c r="AK21" s="11" t="n">
        <f aca="false">Assumptions!C39*3</f>
        <v>300000</v>
      </c>
      <c r="AL21" s="13" t="n">
        <f aca="false">SUM(B21:M21)</f>
        <v>120000</v>
      </c>
      <c r="AM21" s="13" t="n">
        <f aca="false">SUM(N21:Y21)</f>
        <v>252000</v>
      </c>
      <c r="AN21" s="13" t="n">
        <f aca="false">SUM(Z21:AC21)</f>
        <v>450000</v>
      </c>
      <c r="AO21" s="13" t="n">
        <f aca="false">SUM(AD21:AG21)</f>
        <v>804000</v>
      </c>
      <c r="AP21" s="13" t="n">
        <f aca="false">SUM(AH21:AK21)</f>
        <v>1200000</v>
      </c>
    </row>
    <row r="22" customFormat="false" ht="15" hidden="false" customHeight="false" outlineLevel="0" collapsed="false">
      <c r="A22" s="5" t="s">
        <v>125</v>
      </c>
      <c r="B22" s="11" t="n">
        <f aca="false">Assumptions!C40</f>
        <v>12500</v>
      </c>
      <c r="C22" s="11" t="n">
        <f aca="false">Assumptions!C40</f>
        <v>12500</v>
      </c>
      <c r="D22" s="11" t="n">
        <f aca="false">Assumptions!C40</f>
        <v>12500</v>
      </c>
      <c r="E22" s="11" t="n">
        <f aca="false">Assumptions!C40</f>
        <v>12500</v>
      </c>
      <c r="F22" s="11" t="n">
        <f aca="false">Assumptions!C40</f>
        <v>12500</v>
      </c>
      <c r="G22" s="11" t="n">
        <f aca="false">Assumptions!C40</f>
        <v>12500</v>
      </c>
      <c r="H22" s="11" t="n">
        <f aca="false">Assumptions!C40</f>
        <v>12500</v>
      </c>
      <c r="I22" s="11" t="n">
        <f aca="false">Assumptions!C40</f>
        <v>12500</v>
      </c>
      <c r="J22" s="11" t="n">
        <f aca="false">Assumptions!C40</f>
        <v>12500</v>
      </c>
      <c r="K22" s="11" t="n">
        <f aca="false">Assumptions!C40</f>
        <v>12500</v>
      </c>
      <c r="L22" s="11" t="n">
        <f aca="false">Assumptions!C40</f>
        <v>12500</v>
      </c>
      <c r="M22" s="11" t="n">
        <f aca="false">Assumptions!C40</f>
        <v>12500</v>
      </c>
      <c r="N22" s="11" t="n">
        <f aca="false">Assumptions!C41</f>
        <v>25000</v>
      </c>
      <c r="O22" s="11" t="n">
        <f aca="false">Assumptions!C41</f>
        <v>25000</v>
      </c>
      <c r="P22" s="11" t="n">
        <f aca="false">Assumptions!C41</f>
        <v>25000</v>
      </c>
      <c r="Q22" s="11" t="n">
        <f aca="false">Assumptions!C41</f>
        <v>25000</v>
      </c>
      <c r="R22" s="11" t="n">
        <f aca="false">Assumptions!C41</f>
        <v>25000</v>
      </c>
      <c r="S22" s="11" t="n">
        <f aca="false">Assumptions!C41</f>
        <v>25000</v>
      </c>
      <c r="T22" s="11" t="n">
        <f aca="false">Assumptions!C41</f>
        <v>25000</v>
      </c>
      <c r="U22" s="11" t="n">
        <f aca="false">Assumptions!C41</f>
        <v>25000</v>
      </c>
      <c r="V22" s="11" t="n">
        <f aca="false">Assumptions!C41</f>
        <v>25000</v>
      </c>
      <c r="W22" s="11" t="n">
        <f aca="false">Assumptions!C41</f>
        <v>25000</v>
      </c>
      <c r="X22" s="11" t="n">
        <f aca="false">Assumptions!C41</f>
        <v>25000</v>
      </c>
      <c r="Y22" s="11" t="n">
        <f aca="false">Assumptions!C41</f>
        <v>25000</v>
      </c>
      <c r="Z22" s="11" t="n">
        <f aca="false">Assumptions!C42*3</f>
        <v>99000</v>
      </c>
      <c r="AA22" s="11" t="n">
        <f aca="false">Assumptions!C42*3</f>
        <v>99000</v>
      </c>
      <c r="AB22" s="11" t="n">
        <f aca="false">Assumptions!C42*3</f>
        <v>99000</v>
      </c>
      <c r="AC22" s="11" t="n">
        <f aca="false">Assumptions!C42*3</f>
        <v>99000</v>
      </c>
      <c r="AD22" s="11" t="n">
        <f aca="false">Assumptions!C43*3</f>
        <v>126000</v>
      </c>
      <c r="AE22" s="11" t="n">
        <f aca="false">Assumptions!C43*3</f>
        <v>126000</v>
      </c>
      <c r="AF22" s="11" t="n">
        <f aca="false">Assumptions!C43*3</f>
        <v>126000</v>
      </c>
      <c r="AG22" s="11" t="n">
        <f aca="false">Assumptions!C43*3</f>
        <v>126000</v>
      </c>
      <c r="AH22" s="11" t="n">
        <f aca="false">Assumptions!C44*3</f>
        <v>150000</v>
      </c>
      <c r="AI22" s="11" t="n">
        <f aca="false">Assumptions!C44*3</f>
        <v>150000</v>
      </c>
      <c r="AJ22" s="11" t="n">
        <f aca="false">Assumptions!C44*3</f>
        <v>150000</v>
      </c>
      <c r="AK22" s="11" t="n">
        <f aca="false">Assumptions!C44*3</f>
        <v>150000</v>
      </c>
      <c r="AL22" s="13" t="n">
        <f aca="false">SUM(B22:M22)</f>
        <v>150000</v>
      </c>
      <c r="AM22" s="13" t="n">
        <f aca="false">SUM(N22:Y22)</f>
        <v>300000</v>
      </c>
      <c r="AN22" s="13" t="n">
        <f aca="false">SUM(Z22:AC22)</f>
        <v>396000</v>
      </c>
      <c r="AO22" s="13" t="n">
        <f aca="false">SUM(AD22:AG22)</f>
        <v>504000</v>
      </c>
      <c r="AP22" s="13" t="n">
        <f aca="false">SUM(AH22:AK22)</f>
        <v>600000</v>
      </c>
    </row>
    <row r="23" customFormat="false" ht="15" hidden="false" customHeight="false" outlineLevel="0" collapsed="false">
      <c r="A23" s="5" t="s">
        <v>126</v>
      </c>
      <c r="B23" s="11" t="n">
        <f aca="false">Assumptions!C45</f>
        <v>2500</v>
      </c>
      <c r="C23" s="11" t="n">
        <f aca="false">Assumptions!C45</f>
        <v>2500</v>
      </c>
      <c r="D23" s="11" t="n">
        <f aca="false">Assumptions!C45</f>
        <v>2500</v>
      </c>
      <c r="E23" s="11" t="n">
        <f aca="false">Assumptions!C45</f>
        <v>2500</v>
      </c>
      <c r="F23" s="11" t="n">
        <f aca="false">Assumptions!C45</f>
        <v>2500</v>
      </c>
      <c r="G23" s="11" t="n">
        <f aca="false">Assumptions!C45</f>
        <v>2500</v>
      </c>
      <c r="H23" s="11" t="n">
        <f aca="false">Assumptions!C45</f>
        <v>2500</v>
      </c>
      <c r="I23" s="11" t="n">
        <f aca="false">Assumptions!C45</f>
        <v>2500</v>
      </c>
      <c r="J23" s="11" t="n">
        <f aca="false">Assumptions!C45</f>
        <v>2500</v>
      </c>
      <c r="K23" s="11" t="n">
        <f aca="false">Assumptions!C45</f>
        <v>2500</v>
      </c>
      <c r="L23" s="11" t="n">
        <f aca="false">Assumptions!C45</f>
        <v>2500</v>
      </c>
      <c r="M23" s="11" t="n">
        <f aca="false">Assumptions!C45</f>
        <v>2500</v>
      </c>
      <c r="N23" s="11" t="n">
        <f aca="false">Assumptions!C46</f>
        <v>12500</v>
      </c>
      <c r="O23" s="11" t="n">
        <f aca="false">Assumptions!C46</f>
        <v>12500</v>
      </c>
      <c r="P23" s="11" t="n">
        <f aca="false">Assumptions!C46</f>
        <v>12500</v>
      </c>
      <c r="Q23" s="11" t="n">
        <f aca="false">Assumptions!C46</f>
        <v>12500</v>
      </c>
      <c r="R23" s="11" t="n">
        <f aca="false">Assumptions!C46</f>
        <v>12500</v>
      </c>
      <c r="S23" s="11" t="n">
        <f aca="false">Assumptions!C46</f>
        <v>12500</v>
      </c>
      <c r="T23" s="11" t="n">
        <f aca="false">Assumptions!C46</f>
        <v>12500</v>
      </c>
      <c r="U23" s="11" t="n">
        <f aca="false">Assumptions!C46</f>
        <v>12500</v>
      </c>
      <c r="V23" s="11" t="n">
        <f aca="false">Assumptions!C46</f>
        <v>12500</v>
      </c>
      <c r="W23" s="11" t="n">
        <f aca="false">Assumptions!C46</f>
        <v>12500</v>
      </c>
      <c r="X23" s="11" t="n">
        <f aca="false">Assumptions!C46</f>
        <v>12500</v>
      </c>
      <c r="Y23" s="11" t="n">
        <f aca="false">Assumptions!C46</f>
        <v>12500</v>
      </c>
      <c r="Z23" s="11" t="n">
        <f aca="false">Assumptions!C47*3</f>
        <v>87000</v>
      </c>
      <c r="AA23" s="11" t="n">
        <f aca="false">Assumptions!C47*3</f>
        <v>87000</v>
      </c>
      <c r="AB23" s="11" t="n">
        <f aca="false">Assumptions!C47*3</f>
        <v>87000</v>
      </c>
      <c r="AC23" s="11" t="n">
        <f aca="false">Assumptions!C47*3</f>
        <v>87000</v>
      </c>
      <c r="AD23" s="11" t="n">
        <f aca="false">Assumptions!C48*3</f>
        <v>174000</v>
      </c>
      <c r="AE23" s="11" t="n">
        <f aca="false">Assumptions!C48*3</f>
        <v>174000</v>
      </c>
      <c r="AF23" s="11" t="n">
        <f aca="false">Assumptions!C48*3</f>
        <v>174000</v>
      </c>
      <c r="AG23" s="11" t="n">
        <f aca="false">Assumptions!C48*3</f>
        <v>174000</v>
      </c>
      <c r="AH23" s="11" t="n">
        <f aca="false">Assumptions!C49*3</f>
        <v>300000</v>
      </c>
      <c r="AI23" s="11" t="n">
        <f aca="false">Assumptions!C49*3</f>
        <v>300000</v>
      </c>
      <c r="AJ23" s="11" t="n">
        <f aca="false">Assumptions!C49*3</f>
        <v>300000</v>
      </c>
      <c r="AK23" s="11" t="n">
        <f aca="false">Assumptions!C49*3</f>
        <v>300000</v>
      </c>
      <c r="AL23" s="13" t="n">
        <f aca="false">SUM(B23:M23)</f>
        <v>30000</v>
      </c>
      <c r="AM23" s="13" t="n">
        <f aca="false">SUM(N23:Y23)</f>
        <v>150000</v>
      </c>
      <c r="AN23" s="13" t="n">
        <f aca="false">SUM(Z23:AC23)</f>
        <v>348000</v>
      </c>
      <c r="AO23" s="13" t="n">
        <f aca="false">SUM(AD23:AG23)</f>
        <v>696000</v>
      </c>
      <c r="AP23" s="13" t="n">
        <f aca="false">SUM(AH23:AK23)</f>
        <v>1200000</v>
      </c>
    </row>
    <row r="24" customFormat="false" ht="15" hidden="false" customHeight="false" outlineLevel="0" collapsed="false">
      <c r="A24" s="5" t="s">
        <v>127</v>
      </c>
      <c r="B24" s="11" t="n">
        <f aca="false">Assumptions!C50</f>
        <v>6250</v>
      </c>
      <c r="C24" s="11" t="n">
        <f aca="false">Assumptions!C50</f>
        <v>6250</v>
      </c>
      <c r="D24" s="11" t="n">
        <f aca="false">Assumptions!C50</f>
        <v>6250</v>
      </c>
      <c r="E24" s="11" t="n">
        <f aca="false">Assumptions!C50</f>
        <v>6250</v>
      </c>
      <c r="F24" s="11" t="n">
        <f aca="false">Assumptions!C50</f>
        <v>6250</v>
      </c>
      <c r="G24" s="11" t="n">
        <f aca="false">Assumptions!C50</f>
        <v>6250</v>
      </c>
      <c r="H24" s="11" t="n">
        <f aca="false">Assumptions!C50</f>
        <v>6250</v>
      </c>
      <c r="I24" s="11" t="n">
        <f aca="false">Assumptions!C50</f>
        <v>6250</v>
      </c>
      <c r="J24" s="11" t="n">
        <f aca="false">Assumptions!C50</f>
        <v>6250</v>
      </c>
      <c r="K24" s="11" t="n">
        <f aca="false">Assumptions!C50</f>
        <v>6250</v>
      </c>
      <c r="L24" s="11" t="n">
        <f aca="false">Assumptions!C50</f>
        <v>6250</v>
      </c>
      <c r="M24" s="11" t="n">
        <f aca="false">Assumptions!C50</f>
        <v>6250</v>
      </c>
      <c r="N24" s="11" t="n">
        <f aca="false">Assumptions!C51</f>
        <v>10000</v>
      </c>
      <c r="O24" s="11" t="n">
        <f aca="false">Assumptions!C51</f>
        <v>10000</v>
      </c>
      <c r="P24" s="11" t="n">
        <f aca="false">Assumptions!C51</f>
        <v>10000</v>
      </c>
      <c r="Q24" s="11" t="n">
        <f aca="false">Assumptions!C51</f>
        <v>10000</v>
      </c>
      <c r="R24" s="11" t="n">
        <f aca="false">Assumptions!C51</f>
        <v>10000</v>
      </c>
      <c r="S24" s="11" t="n">
        <f aca="false">Assumptions!C51</f>
        <v>10000</v>
      </c>
      <c r="T24" s="11" t="n">
        <f aca="false">Assumptions!C51</f>
        <v>10000</v>
      </c>
      <c r="U24" s="11" t="n">
        <f aca="false">Assumptions!C51</f>
        <v>10000</v>
      </c>
      <c r="V24" s="11" t="n">
        <f aca="false">Assumptions!C51</f>
        <v>10000</v>
      </c>
      <c r="W24" s="11" t="n">
        <f aca="false">Assumptions!C51</f>
        <v>10000</v>
      </c>
      <c r="X24" s="11" t="n">
        <f aca="false">Assumptions!C51</f>
        <v>10000</v>
      </c>
      <c r="Y24" s="11" t="n">
        <f aca="false">Assumptions!C51</f>
        <v>10000</v>
      </c>
      <c r="Z24" s="11" t="n">
        <f aca="false">Assumptions!C52*3</f>
        <v>51000</v>
      </c>
      <c r="AA24" s="11" t="n">
        <f aca="false">Assumptions!C52*3</f>
        <v>51000</v>
      </c>
      <c r="AB24" s="11" t="n">
        <f aca="false">Assumptions!C52*3</f>
        <v>51000</v>
      </c>
      <c r="AC24" s="11" t="n">
        <f aca="false">Assumptions!C52*3</f>
        <v>51000</v>
      </c>
      <c r="AD24" s="11" t="n">
        <f aca="false">Assumptions!C53*3</f>
        <v>90000</v>
      </c>
      <c r="AE24" s="11" t="n">
        <f aca="false">Assumptions!C53*3</f>
        <v>90000</v>
      </c>
      <c r="AF24" s="11" t="n">
        <f aca="false">Assumptions!C53*3</f>
        <v>90000</v>
      </c>
      <c r="AG24" s="11" t="n">
        <f aca="false">Assumptions!C53*3</f>
        <v>90000</v>
      </c>
      <c r="AH24" s="11" t="n">
        <f aca="false">Assumptions!C54*3</f>
        <v>126000</v>
      </c>
      <c r="AI24" s="11" t="n">
        <f aca="false">Assumptions!C54*3</f>
        <v>126000</v>
      </c>
      <c r="AJ24" s="11" t="n">
        <f aca="false">Assumptions!C54*3</f>
        <v>126000</v>
      </c>
      <c r="AK24" s="11" t="n">
        <f aca="false">Assumptions!C54*3</f>
        <v>126000</v>
      </c>
      <c r="AL24" s="13" t="n">
        <f aca="false">SUM(B24:M24)</f>
        <v>75000</v>
      </c>
      <c r="AM24" s="13" t="n">
        <f aca="false">SUM(N24:Y24)</f>
        <v>120000</v>
      </c>
      <c r="AN24" s="13" t="n">
        <f aca="false">SUM(Z24:AC24)</f>
        <v>204000</v>
      </c>
      <c r="AO24" s="13" t="n">
        <f aca="false">SUM(AD24:AG24)</f>
        <v>360000</v>
      </c>
      <c r="AP24" s="13" t="n">
        <f aca="false">SUM(AH24:AK24)</f>
        <v>504000</v>
      </c>
    </row>
    <row r="25" customFormat="false" ht="15" hidden="false" customHeight="false" outlineLevel="0" collapsed="false">
      <c r="A25" s="14" t="s">
        <v>128</v>
      </c>
      <c r="B25" s="11" t="n">
        <f aca="false">B20+B21+B22+B23+B24</f>
        <v>68750</v>
      </c>
      <c r="C25" s="11" t="n">
        <f aca="false">C20+C21+C22+C23+C24</f>
        <v>68750</v>
      </c>
      <c r="D25" s="11" t="n">
        <f aca="false">D20+D21+D22+D23+D24</f>
        <v>68750</v>
      </c>
      <c r="E25" s="11" t="n">
        <f aca="false">E20+E21+E22+E23+E24</f>
        <v>68750</v>
      </c>
      <c r="F25" s="11" t="n">
        <f aca="false">F20+F21+F22+F23+F24</f>
        <v>68750</v>
      </c>
      <c r="G25" s="11" t="n">
        <f aca="false">G20+G21+G22+G23+G24</f>
        <v>68750</v>
      </c>
      <c r="H25" s="11" t="n">
        <f aca="false">H20+H21+H22+H23+H24</f>
        <v>68750</v>
      </c>
      <c r="I25" s="11" t="n">
        <f aca="false">I20+I21+I22+I23+I24</f>
        <v>68750</v>
      </c>
      <c r="J25" s="11" t="n">
        <f aca="false">J20+J21+J22+J23+J24</f>
        <v>68750</v>
      </c>
      <c r="K25" s="11" t="n">
        <f aca="false">K20+K21+K22+K23+K24</f>
        <v>68750</v>
      </c>
      <c r="L25" s="11" t="n">
        <f aca="false">L20+L21+L22+L23+L24</f>
        <v>68750</v>
      </c>
      <c r="M25" s="11" t="n">
        <f aca="false">M20+M21+M22+M23+M24</f>
        <v>68750</v>
      </c>
      <c r="N25" s="11" t="n">
        <f aca="false">N20+N21+N22+N23+N24</f>
        <v>168500</v>
      </c>
      <c r="O25" s="11" t="n">
        <f aca="false">O20+O21+O22+O23+O24</f>
        <v>168500</v>
      </c>
      <c r="P25" s="11" t="n">
        <f aca="false">P20+P21+P22+P23+P24</f>
        <v>168500</v>
      </c>
      <c r="Q25" s="11" t="n">
        <f aca="false">Q20+Q21+Q22+Q23+Q24</f>
        <v>168500</v>
      </c>
      <c r="R25" s="11" t="n">
        <f aca="false">R20+R21+R22+R23+R24</f>
        <v>168500</v>
      </c>
      <c r="S25" s="11" t="n">
        <f aca="false">S20+S21+S22+S23+S24</f>
        <v>168500</v>
      </c>
      <c r="T25" s="11" t="n">
        <f aca="false">T20+T21+T22+T23+T24</f>
        <v>168500</v>
      </c>
      <c r="U25" s="11" t="n">
        <f aca="false">U20+U21+U22+U23+U24</f>
        <v>168500</v>
      </c>
      <c r="V25" s="11" t="n">
        <f aca="false">V20+V21+V22+V23+V24</f>
        <v>168500</v>
      </c>
      <c r="W25" s="11" t="n">
        <f aca="false">W20+W21+W22+W23+W24</f>
        <v>168500</v>
      </c>
      <c r="X25" s="11" t="n">
        <f aca="false">X20+X21+X22+X23+X24</f>
        <v>168500</v>
      </c>
      <c r="Y25" s="11" t="n">
        <f aca="false">Y20+Y21+Y22+Y23+Y24</f>
        <v>168500</v>
      </c>
      <c r="Z25" s="11" t="n">
        <f aca="false">Z20+Z21+Z22+Z23+Z24</f>
        <v>898500</v>
      </c>
      <c r="AA25" s="11" t="n">
        <f aca="false">AA20+AA21+AA22+AA23+AA24</f>
        <v>898500</v>
      </c>
      <c r="AB25" s="11" t="n">
        <f aca="false">AB20+AB21+AB22+AB23+AB24</f>
        <v>898500</v>
      </c>
      <c r="AC25" s="11" t="n">
        <f aca="false">AC20+AC21+AC22+AC23+AC24</f>
        <v>898500</v>
      </c>
      <c r="AD25" s="11" t="n">
        <f aca="false">AD20+AD21+AD22+AD23+AD24</f>
        <v>1590000</v>
      </c>
      <c r="AE25" s="11" t="n">
        <f aca="false">AE20+AE21+AE22+AE23+AE24</f>
        <v>1590000</v>
      </c>
      <c r="AF25" s="11" t="n">
        <f aca="false">AF20+AF21+AF22+AF23+AF24</f>
        <v>1590000</v>
      </c>
      <c r="AG25" s="11" t="n">
        <f aca="false">AG20+AG21+AG22+AG23+AG24</f>
        <v>1590000</v>
      </c>
      <c r="AH25" s="11" t="n">
        <f aca="false">AH20+AH21+AH22+AH23+AH24</f>
        <v>2502000</v>
      </c>
      <c r="AI25" s="11" t="n">
        <f aca="false">AI20+AI21+AI22+AI23+AI24</f>
        <v>2502000</v>
      </c>
      <c r="AJ25" s="11" t="n">
        <f aca="false">AJ20+AJ21+AJ22+AJ23+AJ24</f>
        <v>2502000</v>
      </c>
      <c r="AK25" s="11" t="n">
        <f aca="false">AK20+AK21+AK22+AK23+AK24</f>
        <v>2502000</v>
      </c>
      <c r="AL25" s="13" t="n">
        <f aca="false">SUM(B25:M25)</f>
        <v>825000</v>
      </c>
      <c r="AM25" s="13" t="n">
        <f aca="false">SUM(N25:Y25)</f>
        <v>2022000</v>
      </c>
      <c r="AN25" s="13" t="n">
        <f aca="false">SUM(Z25:AC25)</f>
        <v>3594000</v>
      </c>
      <c r="AO25" s="13" t="n">
        <f aca="false">SUM(AD25:AG25)</f>
        <v>6360000</v>
      </c>
      <c r="AP25" s="13" t="n">
        <f aca="false">SUM(AH25:AK25)</f>
        <v>10008000</v>
      </c>
    </row>
    <row r="27" customFormat="false" ht="15" hidden="false" customHeight="false" outlineLevel="0" collapsed="false">
      <c r="A27" s="14" t="s">
        <v>129</v>
      </c>
      <c r="B27" s="11" t="n">
        <f aca="false">B16-B25</f>
        <v>-66117.5</v>
      </c>
      <c r="C27" s="11" t="n">
        <f aca="false">C16-C25</f>
        <v>-63327.05</v>
      </c>
      <c r="D27" s="11" t="n">
        <f aca="false">D16-D25</f>
        <v>-60371.54225</v>
      </c>
      <c r="E27" s="11" t="n">
        <f aca="false">E16-E25</f>
        <v>-60120.1885175</v>
      </c>
      <c r="F27" s="11" t="n">
        <f aca="false">F16-F25</f>
        <v>-56898.3922307</v>
      </c>
      <c r="G27" s="11" t="n">
        <f aca="false">G16-G25</f>
        <v>-53491.0549970263</v>
      </c>
      <c r="H27" s="11" t="n">
        <f aca="false">H16-H25</f>
        <v>-49889.9439763244</v>
      </c>
      <c r="I27" s="11" t="n">
        <f aca="false">I16-I25</f>
        <v>-46086.4993448832</v>
      </c>
      <c r="J27" s="11" t="n">
        <f aca="false">J16-J25</f>
        <v>-42071.8220859768</v>
      </c>
      <c r="K27" s="11" t="n">
        <f aca="false">K16-K25</f>
        <v>-41271.4767485561</v>
      </c>
      <c r="L27" s="11" t="n">
        <f aca="false">L16-L25</f>
        <v>-36909.2611823894</v>
      </c>
      <c r="M27" s="11" t="n">
        <f aca="false">M16-M25</f>
        <v>-32310.043353179</v>
      </c>
      <c r="N27" s="11" t="n">
        <f aca="false">N16-N25</f>
        <v>-127001.803627455</v>
      </c>
      <c r="O27" s="11" t="n">
        <f aca="false">O16-O25</f>
        <v>-118230.593939622</v>
      </c>
      <c r="P27" s="11" t="n">
        <f aca="false">P16-P25</f>
        <v>-113010.309464121</v>
      </c>
      <c r="Q27" s="11" t="n">
        <f aca="false">Q16-Q25</f>
        <v>-107560.429143633</v>
      </c>
      <c r="R27" s="11" t="n">
        <f aca="false">R16-R25</f>
        <v>-101872.735863705</v>
      </c>
      <c r="S27" s="11" t="n">
        <f aca="false">S16-S25</f>
        <v>-91670.4360428351</v>
      </c>
      <c r="T27" s="11" t="n">
        <f aca="false">T16-T25</f>
        <v>-85374.6801074563</v>
      </c>
      <c r="U27" s="11" t="n">
        <f aca="false">U16-U25</f>
        <v>-78812.1548527818</v>
      </c>
      <c r="V27" s="11" t="n">
        <f aca="false">V16-V25</f>
        <v>-71973.4566603065</v>
      </c>
      <c r="W27" s="11" t="n">
        <f aca="false">W16-W25</f>
        <v>-60137.4638460345</v>
      </c>
      <c r="X27" s="11" t="n">
        <f aca="false">X16-X25</f>
        <v>-52599.2004614109</v>
      </c>
      <c r="Y27" s="11" t="n">
        <f aca="false">Y16-Y25</f>
        <v>-44751.7504926522</v>
      </c>
      <c r="Z27" s="11" t="n">
        <f aca="false">Z16-Z25</f>
        <v>-395770.968544264</v>
      </c>
      <c r="AA27" s="11" t="n">
        <f aca="false">AA16-AA25</f>
        <v>-224547.374889634</v>
      </c>
      <c r="AB27" s="11" t="n">
        <f aca="false">AB16-AB25</f>
        <v>-51200.4903845019</v>
      </c>
      <c r="AC27" s="11" t="n">
        <f aca="false">AC16-AC25</f>
        <v>158132.32963815</v>
      </c>
      <c r="AD27" s="11" t="n">
        <f aca="false">AD16-AD25</f>
        <v>-303200.517674127</v>
      </c>
      <c r="AE27" s="11" t="n">
        <f aca="false">AE16-AE25</f>
        <v>46808.9415185098</v>
      </c>
      <c r="AF27" s="11" t="n">
        <f aca="false">AF16-AF25</f>
        <v>434187.057677891</v>
      </c>
      <c r="AG27" s="11" t="n">
        <f aca="false">AG16-AG25</f>
        <v>862158.03558693</v>
      </c>
      <c r="AH27" s="11" t="n">
        <f aca="false">AH16-AH25</f>
        <v>441548.708958236</v>
      </c>
      <c r="AI27" s="11" t="n">
        <f aca="false">AI16-AI25</f>
        <v>1063899.00742369</v>
      </c>
      <c r="AJ27" s="11" t="n">
        <f aca="false">AJ16-AJ25</f>
        <v>1750334.56635275</v>
      </c>
      <c r="AK27" s="11" t="n">
        <f aca="false">AK16-AK25</f>
        <v>2506305.15592658</v>
      </c>
      <c r="AL27" s="13" t="n">
        <f aca="false">SUM(B27:M27)</f>
        <v>-608864.774686535</v>
      </c>
      <c r="AM27" s="13" t="n">
        <f aca="false">SUM(N27:Y27)</f>
        <v>-1052995.01450201</v>
      </c>
      <c r="AN27" s="13" t="n">
        <f aca="false">SUM(Z27:AC27)</f>
        <v>-513386.504180249</v>
      </c>
      <c r="AO27" s="13" t="n">
        <f aca="false">SUM(AD27:AG27)</f>
        <v>1039953.5171092</v>
      </c>
      <c r="AP27" s="13" t="n">
        <f aca="false">SUM(AH27:AK27)</f>
        <v>5762087.43866126</v>
      </c>
    </row>
    <row r="28" customFormat="false" ht="15" hidden="false" customHeight="false" outlineLevel="0" collapsed="false">
      <c r="A28" s="5" t="s">
        <v>130</v>
      </c>
      <c r="B28" s="15" t="n">
        <f aca="false">IF(B12=0,0,B27/B12)</f>
        <v>-16.3253086419753</v>
      </c>
      <c r="C28" s="15" t="n">
        <f aca="false">IF(C12=0,0,C27/C12)</f>
        <v>-7.59044108833753</v>
      </c>
      <c r="D28" s="15" t="n">
        <f aca="false">IF(D12=0,0,D27/D12)</f>
        <v>-4.68361882740293</v>
      </c>
      <c r="E28" s="15" t="n">
        <f aca="false">IF(E12=0,0,E27/E12)</f>
        <v>-4.52827070621644</v>
      </c>
      <c r="F28" s="15" t="n">
        <f aca="false">IF(F12=0,0,F27/F12)</f>
        <v>-3.12058546569158</v>
      </c>
      <c r="G28" s="15" t="n">
        <f aca="false">IF(G12=0,0,G27/G12)</f>
        <v>-2.27861007044006</v>
      </c>
      <c r="H28" s="15" t="n">
        <f aca="false">IF(H12=0,0,H27/H12)</f>
        <v>-1.71942562333338</v>
      </c>
      <c r="I28" s="15" t="n">
        <f aca="false">IF(I12=0,0,I27/I12)</f>
        <v>-1.32178276560337</v>
      </c>
      <c r="J28" s="15" t="n">
        <f aca="false">IF(J12=0,0,J27/J12)</f>
        <v>-1.02505817466306</v>
      </c>
      <c r="K28" s="15" t="n">
        <f aca="false">IF(K12=0,0,K27/K12)</f>
        <v>-0.976270072488406</v>
      </c>
      <c r="L28" s="15" t="n">
        <f aca="false">IF(L12=0,0,L27/L12)</f>
        <v>-0.753469318220846</v>
      </c>
      <c r="M28" s="15" t="n">
        <f aca="false">IF(M12=0,0,M27/M12)</f>
        <v>-0.57633241397938</v>
      </c>
      <c r="N28" s="15" t="n">
        <f aca="false">IF(N12=0,0,N27/N12)</f>
        <v>-2.14229220328321</v>
      </c>
      <c r="O28" s="15" t="n">
        <f aca="false">IF(O12=0,0,O27/O12)</f>
        <v>-1.64635754117188</v>
      </c>
      <c r="P28" s="15" t="n">
        <f aca="false">IF(P12=0,0,P27/P12)</f>
        <v>-1.42562007214177</v>
      </c>
      <c r="Q28" s="15" t="n">
        <f aca="false">IF(Q12=0,0,Q27/Q12)</f>
        <v>-1.2355239681291</v>
      </c>
      <c r="R28" s="15" t="n">
        <f aca="false">IF(R12=0,0,R27/R12)</f>
        <v>-1.0702963123132</v>
      </c>
      <c r="S28" s="15" t="n">
        <f aca="false">IF(S12=0,0,S27/S12)</f>
        <v>-0.835216314201147</v>
      </c>
      <c r="T28" s="15" t="n">
        <f aca="false">IF(T12=0,0,T27/T12)</f>
        <v>-0.718941907862421</v>
      </c>
      <c r="U28" s="15" t="n">
        <f aca="false">IF(U12=0,0,U27/U12)</f>
        <v>-0.615116890213951</v>
      </c>
      <c r="V28" s="15" t="n">
        <f aca="false">IF(V12=0,0,V27/V12)</f>
        <v>-0.521943684287063</v>
      </c>
      <c r="W28" s="15" t="n">
        <f aca="false">IF(W12=0,0,W27/W12)</f>
        <v>-0.38847581633206</v>
      </c>
      <c r="X28" s="15" t="n">
        <f aca="false">IF(X12=0,0,X27/X12)</f>
        <v>-0.317680641286073</v>
      </c>
      <c r="Y28" s="15" t="n">
        <f aca="false">IF(Y12=0,0,Y27/Y12)</f>
        <v>-0.253144795741103</v>
      </c>
      <c r="Z28" s="15" t="n">
        <f aca="false">IF(Z12=0,0,Z27/Z12)</f>
        <v>-0.566816474725429</v>
      </c>
      <c r="AA28" s="15" t="n">
        <f aca="false">IF(AA12=0,0,AA27/AA12)</f>
        <v>-0.239889428272589</v>
      </c>
      <c r="AB28" s="15" t="n">
        <f aca="false">IF(AB12=0,0,AB27/AB12)</f>
        <v>-0.0435080543048706</v>
      </c>
      <c r="AC28" s="15" t="n">
        <f aca="false">IF(AC12=0,0,AC27/AC12)</f>
        <v>0.107752975321566</v>
      </c>
      <c r="AD28" s="15" t="n">
        <f aca="false">IF(AD12=0,0,AD27/AD12)</f>
        <v>-0.176717811422004</v>
      </c>
      <c r="AE28" s="15" t="n">
        <f aca="false">IF(AE12=0,0,AE27/AE12)</f>
        <v>0.0214482614606888</v>
      </c>
      <c r="AF28" s="15" t="n">
        <f aca="false">IF(AF12=0,0,AF27/AF12)</f>
        <v>0.160874604954735</v>
      </c>
      <c r="AG28" s="15" t="n">
        <f aca="false">IF(AG12=0,0,AG27/AG12)</f>
        <v>0.263693659750371</v>
      </c>
      <c r="AH28" s="15" t="n">
        <f aca="false">IF(AH12=0,0,AH27/AH12)</f>
        <v>0.117004346467674</v>
      </c>
      <c r="AI28" s="15" t="n">
        <f aca="false">IF(AI12=0,0,AI27/AI12)</f>
        <v>0.232715852036995</v>
      </c>
      <c r="AJ28" s="15" t="n">
        <f aca="false">IF(AJ12=0,0,AJ27/AJ12)</f>
        <v>0.321061511142134</v>
      </c>
      <c r="AK28" s="15" t="n">
        <f aca="false">IF(AK12=0,0,AK27/AK12)</f>
        <v>0.390335245309359</v>
      </c>
      <c r="AL28" s="16" t="n">
        <f aca="false">IF(AL12=0,0,AL27/AL12)</f>
        <v>-1.83108562231014</v>
      </c>
      <c r="AM28" s="16" t="n">
        <f aca="false">IF(AM12=0,0,AM27/AM12)</f>
        <v>-0.760673599395986</v>
      </c>
      <c r="AN28" s="16" t="n">
        <f aca="false">IF(AN12=0,0,AN27/AN12)</f>
        <v>-0.119988529398888</v>
      </c>
      <c r="AO28" s="16" t="n">
        <f aca="false">IF(AO12=0,0,AO27/AO12)</f>
        <v>0.105401356377249</v>
      </c>
      <c r="AP28" s="16" t="n">
        <f aca="false">IF(AP12=0,0,AP27/AP12)</f>
        <v>0.284997037564766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42" min="2" style="0" width="14"/>
  </cols>
  <sheetData>
    <row r="1" customFormat="false" ht="17.35" hidden="false" customHeight="false" outlineLevel="0" collapsed="false">
      <c r="A1" s="1" t="s">
        <v>131</v>
      </c>
    </row>
    <row r="3" customFormat="false" ht="15" hidden="false" customHeight="false" outlineLevel="0" collapsed="false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79</v>
      </c>
      <c r="M3" s="4" t="s">
        <v>80</v>
      </c>
      <c r="N3" s="4" t="s">
        <v>81</v>
      </c>
      <c r="O3" s="4" t="s">
        <v>82</v>
      </c>
      <c r="P3" s="4" t="s">
        <v>83</v>
      </c>
      <c r="Q3" s="4" t="s">
        <v>84</v>
      </c>
      <c r="R3" s="4" t="s">
        <v>85</v>
      </c>
      <c r="S3" s="4" t="s">
        <v>86</v>
      </c>
      <c r="T3" s="4" t="s">
        <v>87</v>
      </c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4" t="s">
        <v>96</v>
      </c>
      <c r="AD3" s="4" t="s">
        <v>97</v>
      </c>
      <c r="AE3" s="4" t="s">
        <v>98</v>
      </c>
      <c r="AF3" s="4" t="s">
        <v>99</v>
      </c>
      <c r="AG3" s="4" t="s">
        <v>100</v>
      </c>
      <c r="AH3" s="4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4" t="s">
        <v>107</v>
      </c>
      <c r="AO3" s="4" t="s">
        <v>108</v>
      </c>
      <c r="AP3" s="4" t="s">
        <v>109</v>
      </c>
    </row>
    <row r="5" customFormat="false" ht="15" hidden="false" customHeight="false" outlineLevel="0" collapsed="false">
      <c r="A5" s="3" t="s">
        <v>110</v>
      </c>
    </row>
    <row r="6" customFormat="false" ht="15" hidden="false" customHeight="false" outlineLevel="0" collapsed="false">
      <c r="A6" s="5" t="s">
        <v>111</v>
      </c>
      <c r="B6" s="9" t="n">
        <f aca="false">ROUND(Assumptions!B6*1/12,0)</f>
        <v>1</v>
      </c>
      <c r="C6" s="9" t="n">
        <f aca="false">ROUND(Assumptions!B6*2/12,0)</f>
        <v>1</v>
      </c>
      <c r="D6" s="9" t="n">
        <f aca="false">ROUND(Assumptions!B6*3/12,0)</f>
        <v>2</v>
      </c>
      <c r="E6" s="9" t="n">
        <f aca="false">ROUND(Assumptions!B6*4/12,0)</f>
        <v>2</v>
      </c>
      <c r="F6" s="9" t="n">
        <f aca="false">ROUND(Assumptions!B6*5/12,0)</f>
        <v>3</v>
      </c>
      <c r="G6" s="9" t="n">
        <f aca="false">ROUND(Assumptions!B6*6/12,0)</f>
        <v>3</v>
      </c>
      <c r="H6" s="9" t="n">
        <f aca="false">ROUND(Assumptions!B6*7/12,0)</f>
        <v>4</v>
      </c>
      <c r="I6" s="9" t="n">
        <f aca="false">ROUND(Assumptions!B6*8/12,0)</f>
        <v>4</v>
      </c>
      <c r="J6" s="9" t="n">
        <f aca="false">ROUND(Assumptions!B6*9/12,0)</f>
        <v>5</v>
      </c>
      <c r="K6" s="9" t="n">
        <f aca="false">ROUND(Assumptions!B6*10/12,0)</f>
        <v>5</v>
      </c>
      <c r="L6" s="9" t="n">
        <f aca="false">ROUND(Assumptions!B6*11/12,0)</f>
        <v>6</v>
      </c>
      <c r="M6" s="9" t="n">
        <f aca="false">ROUND(Assumptions!B6*12/12,0)</f>
        <v>6</v>
      </c>
      <c r="N6" s="9" t="n">
        <f aca="false">ROUND(Assumptions!B6+(Assumptions!B7-Assumptions!B6)*1/12,0)</f>
        <v>7</v>
      </c>
      <c r="O6" s="9" t="n">
        <f aca="false">ROUND(Assumptions!B6+(Assumptions!B7-Assumptions!B6)*2/12,0)</f>
        <v>8</v>
      </c>
      <c r="P6" s="9" t="n">
        <f aca="false">ROUND(Assumptions!B6+(Assumptions!B7-Assumptions!B6)*3/12,0)</f>
        <v>10</v>
      </c>
      <c r="Q6" s="9" t="n">
        <f aca="false">ROUND(Assumptions!B6+(Assumptions!B7-Assumptions!B6)*4/12,0)</f>
        <v>11</v>
      </c>
      <c r="R6" s="9" t="n">
        <f aca="false">ROUND(Assumptions!B6+(Assumptions!B7-Assumptions!B6)*5/12,0)</f>
        <v>12</v>
      </c>
      <c r="S6" s="9" t="n">
        <f aca="false">ROUND(Assumptions!B6+(Assumptions!B7-Assumptions!B6)*6/12,0)</f>
        <v>13</v>
      </c>
      <c r="T6" s="9" t="n">
        <f aca="false">ROUND(Assumptions!B6+(Assumptions!B7-Assumptions!B6)*7/12,0)</f>
        <v>14</v>
      </c>
      <c r="U6" s="9" t="n">
        <f aca="false">ROUND(Assumptions!B6+(Assumptions!B7-Assumptions!B6)*8/12,0)</f>
        <v>15</v>
      </c>
      <c r="V6" s="9" t="n">
        <f aca="false">ROUND(Assumptions!B6+(Assumptions!B7-Assumptions!B6)*9/12,0)</f>
        <v>17</v>
      </c>
      <c r="W6" s="9" t="n">
        <f aca="false">ROUND(Assumptions!B6+(Assumptions!B7-Assumptions!B6)*10/12,0)</f>
        <v>18</v>
      </c>
      <c r="X6" s="9" t="n">
        <f aca="false">ROUND(Assumptions!B6+(Assumptions!B7-Assumptions!B6)*11/12,0)</f>
        <v>19</v>
      </c>
      <c r="Y6" s="9" t="n">
        <f aca="false">ROUND(Assumptions!B6+(Assumptions!B7-Assumptions!B6)*12/12,0)</f>
        <v>20</v>
      </c>
      <c r="Z6" s="9" t="n">
        <f aca="false">ROUND(Assumptions!B7+(Assumptions!B8-Assumptions!B7)*1/4,0)</f>
        <v>28</v>
      </c>
      <c r="AA6" s="9" t="n">
        <f aca="false">ROUND(Assumptions!B7+(Assumptions!B8-Assumptions!B7)*2/4,0)</f>
        <v>35</v>
      </c>
      <c r="AB6" s="9" t="n">
        <f aca="false">ROUND(Assumptions!B7+(Assumptions!B8-Assumptions!B7)*3/4,0)</f>
        <v>43</v>
      </c>
      <c r="AC6" s="9" t="n">
        <f aca="false">ROUND(Assumptions!B7+(Assumptions!B8-Assumptions!B7)*4/4,0)</f>
        <v>50</v>
      </c>
      <c r="AD6" s="9" t="n">
        <f aca="false">ROUND(Assumptions!B8+(Assumptions!B9-Assumptions!B8)*1/4,0)</f>
        <v>63</v>
      </c>
      <c r="AE6" s="9" t="n">
        <f aca="false">ROUND(Assumptions!B8+(Assumptions!B9-Assumptions!B8)*2/4,0)</f>
        <v>75</v>
      </c>
      <c r="AF6" s="9" t="n">
        <f aca="false">ROUND(Assumptions!B8+(Assumptions!B9-Assumptions!B8)*3/4,0)</f>
        <v>88</v>
      </c>
      <c r="AG6" s="9" t="n">
        <f aca="false">ROUND(Assumptions!B8+(Assumptions!B9-Assumptions!B8)*4/4,0)</f>
        <v>100</v>
      </c>
      <c r="AH6" s="9" t="n">
        <f aca="false">ROUND(Assumptions!B9+(Assumptions!B10-Assumptions!B9)*1/4,0)</f>
        <v>113</v>
      </c>
      <c r="AI6" s="9" t="n">
        <f aca="false">ROUND(Assumptions!B9+(Assumptions!B10-Assumptions!B9)*2/4,0)</f>
        <v>125</v>
      </c>
      <c r="AJ6" s="9" t="n">
        <f aca="false">ROUND(Assumptions!B9+(Assumptions!B10-Assumptions!B9)*3/4,0)</f>
        <v>138</v>
      </c>
      <c r="AK6" s="9" t="n">
        <f aca="false">ROUND(Assumptions!B9+(Assumptions!B10-Assumptions!B9)*4/4,0)</f>
        <v>150</v>
      </c>
      <c r="AL6" s="10" t="n">
        <f aca="false">M6</f>
        <v>6</v>
      </c>
      <c r="AM6" s="10" t="n">
        <f aca="false">Y6</f>
        <v>20</v>
      </c>
      <c r="AN6" s="10" t="n">
        <f aca="false">AC6</f>
        <v>50</v>
      </c>
      <c r="AO6" s="10" t="n">
        <f aca="false">AG6</f>
        <v>100</v>
      </c>
      <c r="AP6" s="10" t="n">
        <f aca="false">AK6</f>
        <v>150</v>
      </c>
    </row>
    <row r="7" customFormat="false" ht="15" hidden="false" customHeight="false" outlineLevel="0" collapsed="false">
      <c r="A7" s="5" t="s">
        <v>112</v>
      </c>
      <c r="B7" s="11" t="n">
        <f aca="false">Assumptions!B11*(1+Assumptions!B12)^0</f>
        <v>200000</v>
      </c>
      <c r="C7" s="11" t="n">
        <f aca="false">Assumptions!B11*(1+Assumptions!B12)^1</f>
        <v>206000</v>
      </c>
      <c r="D7" s="11" t="n">
        <f aca="false">Assumptions!B11*(1+Assumptions!B12)^2</f>
        <v>212180</v>
      </c>
      <c r="E7" s="11" t="n">
        <f aca="false">Assumptions!B11*(1+Assumptions!B12)^3</f>
        <v>218545.4</v>
      </c>
      <c r="F7" s="11" t="n">
        <f aca="false">Assumptions!B11*(1+Assumptions!B12)^4</f>
        <v>225101.762</v>
      </c>
      <c r="G7" s="11" t="n">
        <f aca="false">Assumptions!B11*(1+Assumptions!B12)^5</f>
        <v>231854.81486</v>
      </c>
      <c r="H7" s="11" t="n">
        <f aca="false">Assumptions!B11*(1+Assumptions!B12)^6</f>
        <v>238810.4593058</v>
      </c>
      <c r="I7" s="11" t="n">
        <f aca="false">Assumptions!B11*(1+Assumptions!B12)^7</f>
        <v>245974.773084974</v>
      </c>
      <c r="J7" s="11" t="n">
        <f aca="false">Assumptions!B11*(1+Assumptions!B12)^8</f>
        <v>253354.016277523</v>
      </c>
      <c r="K7" s="11" t="n">
        <f aca="false">Assumptions!B11*(1+Assumptions!B12)^9</f>
        <v>260954.636765849</v>
      </c>
      <c r="L7" s="11" t="n">
        <f aca="false">Assumptions!B11*(1+Assumptions!B12)^10</f>
        <v>268783.275868824</v>
      </c>
      <c r="M7" s="11" t="n">
        <f aca="false">Assumptions!B11*(1+Assumptions!B12)^11</f>
        <v>276846.774144889</v>
      </c>
      <c r="N7" s="11" t="n">
        <f aca="false">Assumptions!B11*(1+Assumptions!B12)^12*(1+Assumptions!B13)^0</f>
        <v>285152.177369236</v>
      </c>
      <c r="O7" s="11" t="n">
        <f aca="false">Assumptions!B11*(1+Assumptions!B12)^12*(1+Assumptions!B13)^1</f>
        <v>292280.981803467</v>
      </c>
      <c r="P7" s="11" t="n">
        <f aca="false">Assumptions!B11*(1+Assumptions!B12)^12*(1+Assumptions!B13)^2</f>
        <v>299588.006348553</v>
      </c>
      <c r="Q7" s="11" t="n">
        <f aca="false">Assumptions!B11*(1+Assumptions!B12)^12*(1+Assumptions!B13)^3</f>
        <v>307077.706507267</v>
      </c>
      <c r="R7" s="11" t="n">
        <f aca="false">Assumptions!B11*(1+Assumptions!B12)^12*(1+Assumptions!B13)^4</f>
        <v>314754.649169949</v>
      </c>
      <c r="S7" s="11" t="n">
        <f aca="false">Assumptions!B11*(1+Assumptions!B12)^12*(1+Assumptions!B13)^5</f>
        <v>322623.515399197</v>
      </c>
      <c r="T7" s="11" t="n">
        <f aca="false">Assumptions!B11*(1+Assumptions!B12)^12*(1+Assumptions!B13)^6</f>
        <v>330689.103284177</v>
      </c>
      <c r="U7" s="11" t="n">
        <f aca="false">Assumptions!B11*(1+Assumptions!B12)^12*(1+Assumptions!B13)^7</f>
        <v>338956.330866282</v>
      </c>
      <c r="V7" s="11" t="n">
        <f aca="false">Assumptions!B11*(1+Assumptions!B12)^12*(1+Assumptions!B13)^8</f>
        <v>347430.239137939</v>
      </c>
      <c r="W7" s="11" t="n">
        <f aca="false">Assumptions!B11*(1+Assumptions!B12)^12*(1+Assumptions!B13)^9</f>
        <v>356115.995116387</v>
      </c>
      <c r="X7" s="11" t="n">
        <f aca="false">Assumptions!B11*(1+Assumptions!B12)^12*(1+Assumptions!B13)^10</f>
        <v>365018.894994297</v>
      </c>
      <c r="Y7" s="11" t="n">
        <f aca="false">Assumptions!B11*(1+Assumptions!B12)^12*(1+Assumptions!B13)^11</f>
        <v>374144.367369154</v>
      </c>
      <c r="Z7" s="11" t="n">
        <f aca="false">Assumptions!B11*(1+Assumptions!B12)^12*(1+Assumptions!B13)^12*(1+Assumptions!B14)^0*3</f>
        <v>1150493.92966015</v>
      </c>
      <c r="AA7" s="11" t="n">
        <f aca="false">Assumptions!B11*(1+Assumptions!B12)^12*(1+Assumptions!B13)^12*(1+Assumptions!B14)^1*3</f>
        <v>1219523.56543976</v>
      </c>
      <c r="AB7" s="11" t="n">
        <f aca="false">Assumptions!B11*(1+Assumptions!B12)^12*(1+Assumptions!B13)^12*(1+Assumptions!B14)^2*3</f>
        <v>1292694.97936614</v>
      </c>
      <c r="AC7" s="11" t="n">
        <f aca="false">Assumptions!B11*(1+Assumptions!B12)^12*(1+Assumptions!B13)^12*(1+Assumptions!B14)^3*3</f>
        <v>1370256.67812811</v>
      </c>
      <c r="AD7" s="11" t="n">
        <f aca="false">Assumptions!B11*(1+Assumptions!B12)^12*(1+Assumptions!B13)^12*(1+Assumptions!B14)^(0+4)*3</f>
        <v>1452472.0788158</v>
      </c>
      <c r="AE7" s="11" t="n">
        <f aca="false">Assumptions!B11*(1+Assumptions!B12)^12*(1+Assumptions!B13)^12*(1+Assumptions!B14)^(1+4)*3</f>
        <v>1539620.40354475</v>
      </c>
      <c r="AF7" s="11" t="n">
        <f aca="false">Assumptions!B11*(1+Assumptions!B12)^12*(1+Assumptions!B13)^12*(1+Assumptions!B14)^(2+4)*3</f>
        <v>1631997.62775743</v>
      </c>
      <c r="AG7" s="11" t="n">
        <f aca="false">Assumptions!B11*(1+Assumptions!B12)^12*(1+Assumptions!B13)^12*(1+Assumptions!B14)^(3+4)*3</f>
        <v>1729917.48542288</v>
      </c>
      <c r="AH7" s="11" t="n">
        <f aca="false">Assumptions!B11*(1+Assumptions!B12)^12*(1+Assumptions!B13)^12*(1+Assumptions!B14)^(0+8)*3</f>
        <v>1833712.53454825</v>
      </c>
      <c r="AI7" s="11" t="n">
        <f aca="false">Assumptions!B11*(1+Assumptions!B12)^12*(1+Assumptions!B13)^12*(1+Assumptions!B14)^(1+8)*3</f>
        <v>1943735.28662115</v>
      </c>
      <c r="AJ7" s="11" t="n">
        <f aca="false">Assumptions!B11*(1+Assumptions!B12)^12*(1+Assumptions!B13)^12*(1+Assumptions!B14)^(2+8)*3</f>
        <v>2060359.40381842</v>
      </c>
      <c r="AK7" s="11" t="n">
        <f aca="false">Assumptions!B11*(1+Assumptions!B12)^12*(1+Assumptions!B13)^12*(1+Assumptions!B14)^(3+8)*3</f>
        <v>2183980.96804752</v>
      </c>
      <c r="AL7" s="12" t="n">
        <f aca="false">AVERAGE(B7:M7)</f>
        <v>236533.826025655</v>
      </c>
      <c r="AM7" s="12" t="n">
        <f aca="false">AVERAGE(N7:Y7)</f>
        <v>327819.330613825</v>
      </c>
      <c r="AN7" s="12" t="n">
        <f aca="false">AVERAGE(Z7:AC7)</f>
        <v>1258242.28814854</v>
      </c>
      <c r="AO7" s="12" t="n">
        <f aca="false">AVERAGE(AD7:AG7)</f>
        <v>1588501.89888521</v>
      </c>
      <c r="AP7" s="12" t="n">
        <f aca="false">AVERAGE(AH7:AK7)</f>
        <v>2005447.04825883</v>
      </c>
    </row>
    <row r="8" customFormat="false" ht="15" hidden="false" customHeight="false" outlineLevel="0" collapsed="false">
      <c r="A8" s="5" t="s">
        <v>113</v>
      </c>
      <c r="B8" s="11" t="n">
        <f aca="false">B6*B7</f>
        <v>200000</v>
      </c>
      <c r="C8" s="11" t="n">
        <f aca="false">C6*C7</f>
        <v>206000</v>
      </c>
      <c r="D8" s="11" t="n">
        <f aca="false">D6*D7</f>
        <v>424360</v>
      </c>
      <c r="E8" s="11" t="n">
        <f aca="false">E6*E7</f>
        <v>437090.8</v>
      </c>
      <c r="F8" s="11" t="n">
        <f aca="false">F6*F7</f>
        <v>675305.286</v>
      </c>
      <c r="G8" s="11" t="n">
        <f aca="false">G6*G7</f>
        <v>695564.44458</v>
      </c>
      <c r="H8" s="11" t="n">
        <f aca="false">H6*H7</f>
        <v>955241.8372232</v>
      </c>
      <c r="I8" s="11" t="n">
        <f aca="false">I6*I7</f>
        <v>983899.092339896</v>
      </c>
      <c r="J8" s="11" t="n">
        <f aca="false">J6*J7</f>
        <v>1266770.08138762</v>
      </c>
      <c r="K8" s="11" t="n">
        <f aca="false">K6*K7</f>
        <v>1304773.18382925</v>
      </c>
      <c r="L8" s="11" t="n">
        <f aca="false">L6*L7</f>
        <v>1612699.65521295</v>
      </c>
      <c r="M8" s="11" t="n">
        <f aca="false">M6*M7</f>
        <v>1661080.64486934</v>
      </c>
      <c r="N8" s="11" t="n">
        <f aca="false">N6*N7</f>
        <v>1996065.24158465</v>
      </c>
      <c r="O8" s="11" t="n">
        <f aca="false">O6*O7</f>
        <v>2338247.85442773</v>
      </c>
      <c r="P8" s="11" t="n">
        <f aca="false">P6*P7</f>
        <v>2995880.06348553</v>
      </c>
      <c r="Q8" s="11" t="n">
        <f aca="false">Q6*Q7</f>
        <v>3377854.77157994</v>
      </c>
      <c r="R8" s="11" t="n">
        <f aca="false">R6*R7</f>
        <v>3777055.79003939</v>
      </c>
      <c r="S8" s="11" t="n">
        <f aca="false">S6*S7</f>
        <v>4194105.70018957</v>
      </c>
      <c r="T8" s="11" t="n">
        <f aca="false">T6*T7</f>
        <v>4629647.44597848</v>
      </c>
      <c r="U8" s="11" t="n">
        <f aca="false">U6*U7</f>
        <v>5084344.96299423</v>
      </c>
      <c r="V8" s="11" t="n">
        <f aca="false">V6*V7</f>
        <v>5906314.06534496</v>
      </c>
      <c r="W8" s="11" t="n">
        <f aca="false">W6*W7</f>
        <v>6410087.91209497</v>
      </c>
      <c r="X8" s="11" t="n">
        <f aca="false">X6*X7</f>
        <v>6935359.00489164</v>
      </c>
      <c r="Y8" s="11" t="n">
        <f aca="false">Y6*Y7</f>
        <v>7482887.34738309</v>
      </c>
      <c r="Z8" s="11" t="n">
        <f aca="false">Z6*Z7</f>
        <v>32213830.0304842</v>
      </c>
      <c r="AA8" s="11" t="n">
        <f aca="false">AA6*AA7</f>
        <v>42683324.7903916</v>
      </c>
      <c r="AB8" s="11" t="n">
        <f aca="false">AB6*AB7</f>
        <v>55585884.1127442</v>
      </c>
      <c r="AC8" s="11" t="n">
        <f aca="false">AC6*AC7</f>
        <v>68512833.9064056</v>
      </c>
      <c r="AD8" s="11" t="n">
        <f aca="false">AD6*AD7</f>
        <v>91505740.9653954</v>
      </c>
      <c r="AE8" s="11" t="n">
        <f aca="false">AE6*AE7</f>
        <v>115471530.265856</v>
      </c>
      <c r="AF8" s="11" t="n">
        <f aca="false">AF6*AF7</f>
        <v>143615791.242654</v>
      </c>
      <c r="AG8" s="11" t="n">
        <f aca="false">AG6*AG7</f>
        <v>172991748.542288</v>
      </c>
      <c r="AH8" s="11" t="n">
        <f aca="false">AH6*AH7</f>
        <v>207209516.403952</v>
      </c>
      <c r="AI8" s="11" t="n">
        <f aca="false">AI6*AI7</f>
        <v>242966910.827643</v>
      </c>
      <c r="AJ8" s="11" t="n">
        <f aca="false">AJ6*AJ7</f>
        <v>284329597.726941</v>
      </c>
      <c r="AK8" s="11" t="n">
        <f aca="false">AK6*AK7</f>
        <v>327597145.207128</v>
      </c>
      <c r="AL8" s="13" t="n">
        <f aca="false">SUM(B8:M8)</f>
        <v>10422785.0254422</v>
      </c>
      <c r="AM8" s="13" t="n">
        <f aca="false">SUM(N8:Y8)</f>
        <v>55127850.1599942</v>
      </c>
      <c r="AN8" s="13" t="n">
        <f aca="false">SUM(Z8:AC8)</f>
        <v>198995872.840026</v>
      </c>
      <c r="AO8" s="13" t="n">
        <f aca="false">SUM(AD8:AG8)</f>
        <v>523584811.016193</v>
      </c>
      <c r="AP8" s="13" t="n">
        <f aca="false">SUM(AH8:AK8)</f>
        <v>1062103170.16567</v>
      </c>
    </row>
    <row r="9" customFormat="false" ht="15" hidden="false" customHeight="false" outlineLevel="0" collapsed="false">
      <c r="A9" s="5" t="s">
        <v>114</v>
      </c>
      <c r="B9" s="11" t="n">
        <f aca="false">B8*Assumptions!B16</f>
        <v>2000</v>
      </c>
      <c r="C9" s="11" t="n">
        <f aca="false">C8*Assumptions!B16</f>
        <v>2060</v>
      </c>
      <c r="D9" s="11" t="n">
        <f aca="false">D8*Assumptions!B16</f>
        <v>4243.6</v>
      </c>
      <c r="E9" s="11" t="n">
        <f aca="false">E8*Assumptions!B16</f>
        <v>4370.908</v>
      </c>
      <c r="F9" s="11" t="n">
        <f aca="false">F8*Assumptions!B16</f>
        <v>6753.05286</v>
      </c>
      <c r="G9" s="11" t="n">
        <f aca="false">G8*Assumptions!B16</f>
        <v>6955.6444458</v>
      </c>
      <c r="H9" s="11" t="n">
        <f aca="false">H8*Assumptions!B16</f>
        <v>9552.418372232</v>
      </c>
      <c r="I9" s="11" t="n">
        <f aca="false">I8*Assumptions!B16</f>
        <v>9838.99092339896</v>
      </c>
      <c r="J9" s="11" t="n">
        <f aca="false">J8*Assumptions!B16</f>
        <v>12667.7008138762</v>
      </c>
      <c r="K9" s="11" t="n">
        <f aca="false">K8*Assumptions!B16</f>
        <v>13047.7318382925</v>
      </c>
      <c r="L9" s="11" t="n">
        <f aca="false">L8*Assumptions!B16</f>
        <v>16126.9965521295</v>
      </c>
      <c r="M9" s="11" t="n">
        <f aca="false">M8*Assumptions!B16</f>
        <v>16610.8064486934</v>
      </c>
      <c r="N9" s="11" t="n">
        <f aca="false">N8*Assumptions!B17</f>
        <v>17964.5871742619</v>
      </c>
      <c r="O9" s="11" t="n">
        <f aca="false">O8*Assumptions!B17</f>
        <v>21044.2306898496</v>
      </c>
      <c r="P9" s="11" t="n">
        <f aca="false">P8*Assumptions!B17</f>
        <v>26962.9205713698</v>
      </c>
      <c r="Q9" s="11" t="n">
        <f aca="false">Q8*Assumptions!B17</f>
        <v>30400.6929442194</v>
      </c>
      <c r="R9" s="11" t="n">
        <f aca="false">R8*Assumptions!B17</f>
        <v>33993.5021103545</v>
      </c>
      <c r="S9" s="11" t="n">
        <f aca="false">S8*Assumptions!B17</f>
        <v>37746.9513017061</v>
      </c>
      <c r="T9" s="11" t="n">
        <f aca="false">T8*Assumptions!B17</f>
        <v>41666.8270138063</v>
      </c>
      <c r="U9" s="11" t="n">
        <f aca="false">U8*Assumptions!B17</f>
        <v>45759.1046669481</v>
      </c>
      <c r="V9" s="11" t="n">
        <f aca="false">V8*Assumptions!B17</f>
        <v>53156.8265881046</v>
      </c>
      <c r="W9" s="11" t="n">
        <f aca="false">W8*Assumptions!B17</f>
        <v>57690.7912088547</v>
      </c>
      <c r="X9" s="11" t="n">
        <f aca="false">X8*Assumptions!B17</f>
        <v>62418.2310440248</v>
      </c>
      <c r="Y9" s="11" t="n">
        <f aca="false">Y8*Assumptions!B17</f>
        <v>67345.9861264478</v>
      </c>
      <c r="Z9" s="11" t="n">
        <f aca="false">Z8*Assumptions!B18</f>
        <v>273817.555259116</v>
      </c>
      <c r="AA9" s="11" t="n">
        <f aca="false">AA8*Assumptions!B18</f>
        <v>362808.260718328</v>
      </c>
      <c r="AB9" s="11" t="n">
        <f aca="false">AB8*Assumptions!B18</f>
        <v>472480.014958326</v>
      </c>
      <c r="AC9" s="11" t="n">
        <f aca="false">AC8*Assumptions!B18</f>
        <v>582359.088204448</v>
      </c>
      <c r="AD9" s="11" t="n">
        <f aca="false">AD8*Assumptions!B19</f>
        <v>686293.057240465</v>
      </c>
      <c r="AE9" s="11" t="n">
        <f aca="false">AE8*Assumptions!B19</f>
        <v>866036.476993921</v>
      </c>
      <c r="AF9" s="11" t="n">
        <f aca="false">AF8*Assumptions!B19</f>
        <v>1077118.43431991</v>
      </c>
      <c r="AG9" s="11" t="n">
        <f aca="false">AG8*Assumptions!B19</f>
        <v>1297438.11406716</v>
      </c>
      <c r="AH9" s="11" t="n">
        <f aca="false">AH8*Assumptions!B20</f>
        <v>1450466.61482767</v>
      </c>
      <c r="AI9" s="11" t="n">
        <f aca="false">AI8*Assumptions!B20</f>
        <v>1700768.3757935</v>
      </c>
      <c r="AJ9" s="11" t="n">
        <f aca="false">AJ8*Assumptions!B20</f>
        <v>1990307.18408859</v>
      </c>
      <c r="AK9" s="11" t="n">
        <f aca="false">AK8*Assumptions!B20</f>
        <v>2293180.0164499</v>
      </c>
      <c r="AL9" s="13" t="n">
        <f aca="false">SUM(B9:M9)</f>
        <v>104227.850254422</v>
      </c>
      <c r="AM9" s="13" t="n">
        <f aca="false">SUM(N9:Y9)</f>
        <v>496150.651439948</v>
      </c>
      <c r="AN9" s="13" t="n">
        <f aca="false">SUM(Z9:AC9)</f>
        <v>1691464.91914022</v>
      </c>
      <c r="AO9" s="13" t="n">
        <f aca="false">SUM(AD9:AG9)</f>
        <v>3926886.08262145</v>
      </c>
      <c r="AP9" s="13" t="n">
        <f aca="false">SUM(AH9:AK9)</f>
        <v>7434722.19115966</v>
      </c>
    </row>
    <row r="10" customFormat="false" ht="15" hidden="false" customHeight="false" outlineLevel="0" collapsed="false">
      <c r="A10" s="5" t="s">
        <v>115</v>
      </c>
      <c r="B10" s="11" t="n">
        <f aca="false">B9*Assumptions!B21</f>
        <v>700</v>
      </c>
      <c r="C10" s="11" t="n">
        <f aca="false">C9*Assumptions!B21</f>
        <v>721</v>
      </c>
      <c r="D10" s="11" t="n">
        <f aca="false">D9*Assumptions!B21</f>
        <v>1485.26</v>
      </c>
      <c r="E10" s="11" t="n">
        <f aca="false">E9*Assumptions!B21</f>
        <v>1529.8178</v>
      </c>
      <c r="F10" s="11" t="n">
        <f aca="false">F9*Assumptions!B21</f>
        <v>2363.568501</v>
      </c>
      <c r="G10" s="11" t="n">
        <f aca="false">G9*Assumptions!B21</f>
        <v>2434.47555603</v>
      </c>
      <c r="H10" s="11" t="n">
        <f aca="false">H9*Assumptions!B21</f>
        <v>3343.3464302812</v>
      </c>
      <c r="I10" s="11" t="n">
        <f aca="false">I9*Assumptions!B21</f>
        <v>3443.64682318964</v>
      </c>
      <c r="J10" s="11" t="n">
        <f aca="false">J9*Assumptions!B21</f>
        <v>4433.69528485666</v>
      </c>
      <c r="K10" s="11" t="n">
        <f aca="false">K9*Assumptions!B21</f>
        <v>4566.70614340236</v>
      </c>
      <c r="L10" s="11" t="n">
        <f aca="false">L9*Assumptions!B21</f>
        <v>5644.44879324531</v>
      </c>
      <c r="M10" s="11" t="n">
        <f aca="false">M9*Assumptions!B21</f>
        <v>5813.78225704267</v>
      </c>
      <c r="N10" s="11" t="n">
        <f aca="false">N9*Assumptions!B21</f>
        <v>6287.60551099165</v>
      </c>
      <c r="O10" s="11" t="n">
        <f aca="false">O9*Assumptions!B21</f>
        <v>7365.48074144736</v>
      </c>
      <c r="P10" s="11" t="n">
        <f aca="false">P9*Assumptions!B21</f>
        <v>9437.02219997943</v>
      </c>
      <c r="Q10" s="11" t="n">
        <f aca="false">Q9*Assumptions!B21</f>
        <v>10640.2425304768</v>
      </c>
      <c r="R10" s="11" t="n">
        <f aca="false">R9*Assumptions!B21</f>
        <v>11897.7257386241</v>
      </c>
      <c r="S10" s="11" t="n">
        <f aca="false">S9*Assumptions!B21</f>
        <v>13211.4329555971</v>
      </c>
      <c r="T10" s="11" t="n">
        <f aca="false">T9*Assumptions!B21</f>
        <v>14583.3894548322</v>
      </c>
      <c r="U10" s="11" t="n">
        <f aca="false">U9*Assumptions!B21</f>
        <v>16015.6866334318</v>
      </c>
      <c r="V10" s="11" t="n">
        <f aca="false">V9*Assumptions!B21</f>
        <v>18604.8893058366</v>
      </c>
      <c r="W10" s="11" t="n">
        <f aca="false">W9*Assumptions!B21</f>
        <v>20191.7769230992</v>
      </c>
      <c r="X10" s="11" t="n">
        <f aca="false">X9*Assumptions!B21</f>
        <v>21846.3808654087</v>
      </c>
      <c r="Y10" s="11" t="n">
        <f aca="false">Y9*Assumptions!B21</f>
        <v>23571.0951442567</v>
      </c>
      <c r="Z10" s="11" t="n">
        <f aca="false">Z9*Assumptions!B21</f>
        <v>95836.1443406904</v>
      </c>
      <c r="AA10" s="11" t="n">
        <f aca="false">AA9*Assumptions!B21</f>
        <v>126982.891251415</v>
      </c>
      <c r="AB10" s="11" t="n">
        <f aca="false">AB9*Assumptions!B21</f>
        <v>165368.005235414</v>
      </c>
      <c r="AC10" s="11" t="n">
        <f aca="false">AC9*Assumptions!B21</f>
        <v>203825.680871557</v>
      </c>
      <c r="AD10" s="11" t="n">
        <f aca="false">AD9*Assumptions!B21</f>
        <v>240202.570034163</v>
      </c>
      <c r="AE10" s="11" t="n">
        <f aca="false">AE9*Assumptions!B21</f>
        <v>303112.766947872</v>
      </c>
      <c r="AF10" s="11" t="n">
        <f aca="false">AF9*Assumptions!B21</f>
        <v>376991.452011967</v>
      </c>
      <c r="AG10" s="11" t="n">
        <f aca="false">AG9*Assumptions!B21</f>
        <v>454103.339923506</v>
      </c>
      <c r="AH10" s="11" t="n">
        <f aca="false">AH9*Assumptions!B21</f>
        <v>507663.315189683</v>
      </c>
      <c r="AI10" s="11" t="n">
        <f aca="false">AI9*Assumptions!B21</f>
        <v>595268.931527726</v>
      </c>
      <c r="AJ10" s="11" t="n">
        <f aca="false">AJ9*Assumptions!B21</f>
        <v>696607.514431006</v>
      </c>
      <c r="AK10" s="11" t="n">
        <f aca="false">AK9*Assumptions!B21</f>
        <v>802613.005757464</v>
      </c>
      <c r="AL10" s="13" t="n">
        <f aca="false">SUM(B10:M10)</f>
        <v>36479.7475890478</v>
      </c>
      <c r="AM10" s="13" t="n">
        <f aca="false">SUM(N10:Y10)</f>
        <v>173652.728003982</v>
      </c>
      <c r="AN10" s="13" t="n">
        <f aca="false">SUM(Z10:AC10)</f>
        <v>592012.721699076</v>
      </c>
      <c r="AO10" s="13" t="n">
        <f aca="false">SUM(AD10:AG10)</f>
        <v>1374410.12891751</v>
      </c>
      <c r="AP10" s="13" t="n">
        <f aca="false">SUM(AH10:AK10)</f>
        <v>2602152.76690588</v>
      </c>
    </row>
    <row r="11" customFormat="false" ht="15" hidden="false" customHeight="false" outlineLevel="0" collapsed="false">
      <c r="A11" s="5" t="s">
        <v>116</v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f aca="false">N9*Assumptions!B22</f>
        <v>898.229358713093</v>
      </c>
      <c r="O11" s="11" t="n">
        <f aca="false">O9*Assumptions!B22</f>
        <v>1052.21153449248</v>
      </c>
      <c r="P11" s="11" t="n">
        <f aca="false">P9*Assumptions!B22</f>
        <v>1348.14602856849</v>
      </c>
      <c r="Q11" s="11" t="n">
        <f aca="false">Q9*Assumptions!B22</f>
        <v>1520.03464721097</v>
      </c>
      <c r="R11" s="11" t="n">
        <f aca="false">R9*Assumptions!B22</f>
        <v>1699.67510551772</v>
      </c>
      <c r="S11" s="11" t="n">
        <f aca="false">S9*Assumptions!B22</f>
        <v>1887.34756508531</v>
      </c>
      <c r="T11" s="11" t="n">
        <f aca="false">T9*Assumptions!B22</f>
        <v>2083.34135069032</v>
      </c>
      <c r="U11" s="11" t="n">
        <f aca="false">U9*Assumptions!B22</f>
        <v>2287.9552333474</v>
      </c>
      <c r="V11" s="11" t="n">
        <f aca="false">V9*Assumptions!B22</f>
        <v>2657.84132940523</v>
      </c>
      <c r="W11" s="11" t="n">
        <f aca="false">W9*Assumptions!B22</f>
        <v>2884.53956044274</v>
      </c>
      <c r="X11" s="11" t="n">
        <f aca="false">X9*Assumptions!B22</f>
        <v>3120.91155220124</v>
      </c>
      <c r="Y11" s="11" t="n">
        <f aca="false">Y9*Assumptions!B22</f>
        <v>3367.29930632239</v>
      </c>
      <c r="Z11" s="11" t="n">
        <f aca="false">Z9*Assumptions!B22</f>
        <v>13690.8777629558</v>
      </c>
      <c r="AA11" s="11" t="n">
        <f aca="false">AA9*Assumptions!B22</f>
        <v>18140.4130359164</v>
      </c>
      <c r="AB11" s="11" t="n">
        <f aca="false">AB9*Assumptions!B22</f>
        <v>23624.0007479163</v>
      </c>
      <c r="AC11" s="11" t="n">
        <f aca="false">AC9*Assumptions!B22</f>
        <v>29117.9544102224</v>
      </c>
      <c r="AD11" s="11" t="n">
        <f aca="false">AD9*Assumptions!B22</f>
        <v>34314.6528620233</v>
      </c>
      <c r="AE11" s="11" t="n">
        <f aca="false">AE9*Assumptions!B22</f>
        <v>43301.823849696</v>
      </c>
      <c r="AF11" s="11" t="n">
        <f aca="false">AF9*Assumptions!B22</f>
        <v>53855.9217159953</v>
      </c>
      <c r="AG11" s="11" t="n">
        <f aca="false">AG9*Assumptions!B22</f>
        <v>64871.905703358</v>
      </c>
      <c r="AH11" s="11" t="n">
        <f aca="false">AH9*Assumptions!B22</f>
        <v>72523.3307413834</v>
      </c>
      <c r="AI11" s="11" t="n">
        <f aca="false">AI9*Assumptions!B22</f>
        <v>85038.4187896752</v>
      </c>
      <c r="AJ11" s="11" t="n">
        <f aca="false">AJ9*Assumptions!B22</f>
        <v>99515.3592044295</v>
      </c>
      <c r="AK11" s="11" t="n">
        <f aca="false">AK9*Assumptions!B22</f>
        <v>114659.000822495</v>
      </c>
      <c r="AL11" s="13" t="n">
        <f aca="false">SUM(B11:M11)</f>
        <v>0</v>
      </c>
      <c r="AM11" s="13" t="n">
        <f aca="false">SUM(N11:Y11)</f>
        <v>24807.5325719974</v>
      </c>
      <c r="AN11" s="13" t="n">
        <f aca="false">SUM(Z11:AC11)</f>
        <v>84573.2459570109</v>
      </c>
      <c r="AO11" s="13" t="n">
        <f aca="false">SUM(AD11:AG11)</f>
        <v>196344.304131073</v>
      </c>
      <c r="AP11" s="13" t="n">
        <f aca="false">SUM(AH11:AK11)</f>
        <v>371736.109557983</v>
      </c>
    </row>
    <row r="12" customFormat="false" ht="15" hidden="false" customHeight="false" outlineLevel="0" collapsed="false">
      <c r="A12" s="14" t="s">
        <v>117</v>
      </c>
      <c r="B12" s="11" t="n">
        <f aca="false">B9+B10+B11</f>
        <v>2700</v>
      </c>
      <c r="C12" s="11" t="n">
        <f aca="false">C9+C10+C11</f>
        <v>2781</v>
      </c>
      <c r="D12" s="11" t="n">
        <f aca="false">D9+D10+D11</f>
        <v>5728.86</v>
      </c>
      <c r="E12" s="11" t="n">
        <f aca="false">E9+E10+E11</f>
        <v>5900.7258</v>
      </c>
      <c r="F12" s="11" t="n">
        <f aca="false">F9+F10+F11</f>
        <v>9116.621361</v>
      </c>
      <c r="G12" s="11" t="n">
        <f aca="false">G9+G10+G11</f>
        <v>9390.12000183</v>
      </c>
      <c r="H12" s="11" t="n">
        <f aca="false">H9+H10+H11</f>
        <v>12895.7648025132</v>
      </c>
      <c r="I12" s="11" t="n">
        <f aca="false">I9+I10+I11</f>
        <v>13282.6377465886</v>
      </c>
      <c r="J12" s="11" t="n">
        <f aca="false">J9+J10+J11</f>
        <v>17101.3960987328</v>
      </c>
      <c r="K12" s="11" t="n">
        <f aca="false">K9+K10+K11</f>
        <v>17614.4379816948</v>
      </c>
      <c r="L12" s="11" t="n">
        <f aca="false">L9+L10+L11</f>
        <v>21771.4453453748</v>
      </c>
      <c r="M12" s="11" t="n">
        <f aca="false">M9+M10+M11</f>
        <v>22424.588705736</v>
      </c>
      <c r="N12" s="11" t="n">
        <f aca="false">N9+N10+N11</f>
        <v>25150.4220439666</v>
      </c>
      <c r="O12" s="11" t="n">
        <f aca="false">O9+O10+O11</f>
        <v>29461.9229657894</v>
      </c>
      <c r="P12" s="11" t="n">
        <f aca="false">P9+P10+P11</f>
        <v>37748.0887999177</v>
      </c>
      <c r="Q12" s="11" t="n">
        <f aca="false">Q9+Q10+Q11</f>
        <v>42560.9701219072</v>
      </c>
      <c r="R12" s="11" t="n">
        <f aca="false">R9+R10+R11</f>
        <v>47590.9029544963</v>
      </c>
      <c r="S12" s="11" t="n">
        <f aca="false">S9+S10+S11</f>
        <v>52845.7318223885</v>
      </c>
      <c r="T12" s="11" t="n">
        <f aca="false">T9+T10+T11</f>
        <v>58333.5578193289</v>
      </c>
      <c r="U12" s="11" t="n">
        <f aca="false">U9+U10+U11</f>
        <v>64062.7465337273</v>
      </c>
      <c r="V12" s="11" t="n">
        <f aca="false">V9+V10+V11</f>
        <v>74419.5572233465</v>
      </c>
      <c r="W12" s="11" t="n">
        <f aca="false">W9+W10+W11</f>
        <v>80767.1076923966</v>
      </c>
      <c r="X12" s="11" t="n">
        <f aca="false">X9+X10+X11</f>
        <v>87385.5234616347</v>
      </c>
      <c r="Y12" s="11" t="n">
        <f aca="false">Y9+Y10+Y11</f>
        <v>94284.3805770269</v>
      </c>
      <c r="Z12" s="11" t="n">
        <f aca="false">Z9+Z10+Z11</f>
        <v>383344.577362762</v>
      </c>
      <c r="AA12" s="11" t="n">
        <f aca="false">AA9+AA10+AA11</f>
        <v>507931.565005659</v>
      </c>
      <c r="AB12" s="11" t="n">
        <f aca="false">AB9+AB10+AB11</f>
        <v>661472.020941656</v>
      </c>
      <c r="AC12" s="11" t="n">
        <f aca="false">AC9+AC10+AC11</f>
        <v>815302.723486227</v>
      </c>
      <c r="AD12" s="11" t="n">
        <f aca="false">AD9+AD10+AD11</f>
        <v>960810.280136651</v>
      </c>
      <c r="AE12" s="11" t="n">
        <f aca="false">AE9+AE10+AE11</f>
        <v>1212451.06779149</v>
      </c>
      <c r="AF12" s="11" t="n">
        <f aca="false">AF9+AF10+AF11</f>
        <v>1507965.80804787</v>
      </c>
      <c r="AG12" s="11" t="n">
        <f aca="false">AG9+AG10+AG11</f>
        <v>1816413.35969402</v>
      </c>
      <c r="AH12" s="11" t="n">
        <f aca="false">AH9+AH10+AH11</f>
        <v>2030653.26075873</v>
      </c>
      <c r="AI12" s="11" t="n">
        <f aca="false">AI9+AI10+AI11</f>
        <v>2381075.72611091</v>
      </c>
      <c r="AJ12" s="11" t="n">
        <f aca="false">AJ9+AJ10+AJ11</f>
        <v>2786430.05772403</v>
      </c>
      <c r="AK12" s="11" t="n">
        <f aca="false">AK9+AK10+AK11</f>
        <v>3210452.02302986</v>
      </c>
      <c r="AL12" s="13" t="n">
        <f aca="false">SUM(B12:M12)</f>
        <v>140707.59784347</v>
      </c>
      <c r="AM12" s="13" t="n">
        <f aca="false">SUM(N12:Y12)</f>
        <v>694610.912015927</v>
      </c>
      <c r="AN12" s="13" t="n">
        <f aca="false">SUM(Z12:AC12)</f>
        <v>2368050.8867963</v>
      </c>
      <c r="AO12" s="13" t="n">
        <f aca="false">SUM(AD12:AG12)</f>
        <v>5497640.51567003</v>
      </c>
      <c r="AP12" s="13" t="n">
        <f aca="false">SUM(AH12:AK12)</f>
        <v>10408611.0676235</v>
      </c>
    </row>
    <row r="14" customFormat="false" ht="15" hidden="false" customHeight="false" outlineLevel="0" collapsed="false">
      <c r="A14" s="3" t="s">
        <v>118</v>
      </c>
    </row>
    <row r="15" customFormat="false" ht="15" hidden="false" customHeight="false" outlineLevel="0" collapsed="false">
      <c r="A15" s="5" t="s">
        <v>119</v>
      </c>
      <c r="B15" s="11" t="n">
        <f aca="false">B12*Assumptions!B25</f>
        <v>945</v>
      </c>
      <c r="C15" s="11" t="n">
        <f aca="false">C12*Assumptions!B25</f>
        <v>973.35</v>
      </c>
      <c r="D15" s="11" t="n">
        <f aca="false">D12*Assumptions!B25</f>
        <v>2005.101</v>
      </c>
      <c r="E15" s="11" t="n">
        <f aca="false">E12*Assumptions!B25</f>
        <v>2065.25403</v>
      </c>
      <c r="F15" s="11" t="n">
        <f aca="false">F12*Assumptions!B25</f>
        <v>3190.81747635</v>
      </c>
      <c r="G15" s="11" t="n">
        <f aca="false">G12*Assumptions!B25</f>
        <v>3286.5420006405</v>
      </c>
      <c r="H15" s="11" t="n">
        <f aca="false">H12*Assumptions!B25</f>
        <v>4513.51768087962</v>
      </c>
      <c r="I15" s="11" t="n">
        <f aca="false">I12*Assumptions!B25</f>
        <v>4648.92321130601</v>
      </c>
      <c r="J15" s="11" t="n">
        <f aca="false">J12*Assumptions!B25</f>
        <v>5985.48863455649</v>
      </c>
      <c r="K15" s="11" t="n">
        <f aca="false">K12*Assumptions!B25</f>
        <v>6165.05329359318</v>
      </c>
      <c r="L15" s="11" t="n">
        <f aca="false">L12*Assumptions!B25</f>
        <v>7620.00587088117</v>
      </c>
      <c r="M15" s="11" t="n">
        <f aca="false">M12*Assumptions!B25</f>
        <v>7848.60604700761</v>
      </c>
      <c r="N15" s="11" t="n">
        <f aca="false">N12*Assumptions!B26</f>
        <v>7545.12661318998</v>
      </c>
      <c r="O15" s="11" t="n">
        <f aca="false">O12*Assumptions!B26</f>
        <v>8838.57688973683</v>
      </c>
      <c r="P15" s="11" t="n">
        <f aca="false">P12*Assumptions!B26</f>
        <v>11324.4266399753</v>
      </c>
      <c r="Q15" s="11" t="n">
        <f aca="false">Q12*Assumptions!B26</f>
        <v>12768.2910365722</v>
      </c>
      <c r="R15" s="11" t="n">
        <f aca="false">R12*Assumptions!B26</f>
        <v>14277.2708863489</v>
      </c>
      <c r="S15" s="11" t="n">
        <f aca="false">S12*Assumptions!B26</f>
        <v>15853.7195467166</v>
      </c>
      <c r="T15" s="11" t="n">
        <f aca="false">T12*Assumptions!B26</f>
        <v>17500.0673457987</v>
      </c>
      <c r="U15" s="11" t="n">
        <f aca="false">U12*Assumptions!B26</f>
        <v>19218.8239601182</v>
      </c>
      <c r="V15" s="11" t="n">
        <f aca="false">V12*Assumptions!B26</f>
        <v>22325.8671670039</v>
      </c>
      <c r="W15" s="11" t="n">
        <f aca="false">W12*Assumptions!B26</f>
        <v>24230.132307719</v>
      </c>
      <c r="X15" s="11" t="n">
        <f aca="false">X12*Assumptions!B26</f>
        <v>26215.6570384904</v>
      </c>
      <c r="Y15" s="11" t="n">
        <f aca="false">Y12*Assumptions!B26</f>
        <v>28285.3141731081</v>
      </c>
      <c r="Z15" s="11" t="n">
        <f aca="false">Z12*Assumptions!B27</f>
        <v>107336.481661573</v>
      </c>
      <c r="AA15" s="11" t="n">
        <f aca="false">AA12*Assumptions!B27</f>
        <v>142220.838201585</v>
      </c>
      <c r="AB15" s="11" t="n">
        <f aca="false">AB12*Assumptions!B27</f>
        <v>185212.165863664</v>
      </c>
      <c r="AC15" s="11" t="n">
        <f aca="false">AC12*Assumptions!B27</f>
        <v>228284.762576144</v>
      </c>
      <c r="AD15" s="11" t="n">
        <f aca="false">AD12*Assumptions!B28</f>
        <v>240202.570034163</v>
      </c>
      <c r="AE15" s="11" t="n">
        <f aca="false">AE12*Assumptions!B28</f>
        <v>303112.766947872</v>
      </c>
      <c r="AF15" s="11" t="n">
        <f aca="false">AF12*Assumptions!B28</f>
        <v>376991.452011967</v>
      </c>
      <c r="AG15" s="11" t="n">
        <f aca="false">AG12*Assumptions!B28</f>
        <v>454103.339923506</v>
      </c>
      <c r="AH15" s="11" t="n">
        <f aca="false">AH12*Assumptions!B29</f>
        <v>446743.717366921</v>
      </c>
      <c r="AI15" s="11" t="n">
        <f aca="false">AI12*Assumptions!B29</f>
        <v>523836.659744399</v>
      </c>
      <c r="AJ15" s="11" t="n">
        <f aca="false">AJ12*Assumptions!B29</f>
        <v>613014.612699286</v>
      </c>
      <c r="AK15" s="11" t="n">
        <f aca="false">AK12*Assumptions!B29</f>
        <v>706299.445066568</v>
      </c>
      <c r="AL15" s="13" t="n">
        <f aca="false">SUM(B15:M15)</f>
        <v>49247.6592452146</v>
      </c>
      <c r="AM15" s="13" t="n">
        <f aca="false">SUM(N15:Y15)</f>
        <v>208383.273604778</v>
      </c>
      <c r="AN15" s="13" t="n">
        <f aca="false">SUM(Z15:AC15)</f>
        <v>663054.248302965</v>
      </c>
      <c r="AO15" s="13" t="n">
        <f aca="false">SUM(AD15:AG15)</f>
        <v>1374410.12891751</v>
      </c>
      <c r="AP15" s="13" t="n">
        <f aca="false">SUM(AH15:AK15)</f>
        <v>2289894.43487717</v>
      </c>
    </row>
    <row r="16" customFormat="false" ht="15" hidden="false" customHeight="false" outlineLevel="0" collapsed="false">
      <c r="A16" s="14" t="s">
        <v>120</v>
      </c>
      <c r="B16" s="11" t="n">
        <f aca="false">B12-B15</f>
        <v>1755</v>
      </c>
      <c r="C16" s="11" t="n">
        <f aca="false">C12-C15</f>
        <v>1807.65</v>
      </c>
      <c r="D16" s="11" t="n">
        <f aca="false">D12-D15</f>
        <v>3723.759</v>
      </c>
      <c r="E16" s="11" t="n">
        <f aca="false">E12-E15</f>
        <v>3835.47177</v>
      </c>
      <c r="F16" s="11" t="n">
        <f aca="false">F12-F15</f>
        <v>5925.80388465</v>
      </c>
      <c r="G16" s="11" t="n">
        <f aca="false">G12-G15</f>
        <v>6103.5780011895</v>
      </c>
      <c r="H16" s="11" t="n">
        <f aca="false">H12-H15</f>
        <v>8382.24712163358</v>
      </c>
      <c r="I16" s="11" t="n">
        <f aca="false">I12-I15</f>
        <v>8633.71453528259</v>
      </c>
      <c r="J16" s="11" t="n">
        <f aca="false">J12-J15</f>
        <v>11115.9074641763</v>
      </c>
      <c r="K16" s="11" t="n">
        <f aca="false">K12-K15</f>
        <v>11449.3846881016</v>
      </c>
      <c r="L16" s="11" t="n">
        <f aca="false">L12-L15</f>
        <v>14151.4394744936</v>
      </c>
      <c r="M16" s="11" t="n">
        <f aca="false">M12-M15</f>
        <v>14575.9826587284</v>
      </c>
      <c r="N16" s="11" t="n">
        <f aca="false">N12-N15</f>
        <v>17605.2954307766</v>
      </c>
      <c r="O16" s="11" t="n">
        <f aca="false">O12-O15</f>
        <v>20623.3460760526</v>
      </c>
      <c r="P16" s="11" t="n">
        <f aca="false">P12-P15</f>
        <v>26423.6621599424</v>
      </c>
      <c r="Q16" s="11" t="n">
        <f aca="false">Q12-Q15</f>
        <v>29792.6790853351</v>
      </c>
      <c r="R16" s="11" t="n">
        <f aca="false">R12-R15</f>
        <v>33313.6320681474</v>
      </c>
      <c r="S16" s="11" t="n">
        <f aca="false">S12-S15</f>
        <v>36992.012275672</v>
      </c>
      <c r="T16" s="11" t="n">
        <f aca="false">T12-T15</f>
        <v>40833.4904735302</v>
      </c>
      <c r="U16" s="11" t="n">
        <f aca="false">U12-U15</f>
        <v>44843.9225736091</v>
      </c>
      <c r="V16" s="11" t="n">
        <f aca="false">V12-V15</f>
        <v>52093.6900563425</v>
      </c>
      <c r="W16" s="11" t="n">
        <f aca="false">W12-W15</f>
        <v>56536.9753846776</v>
      </c>
      <c r="X16" s="11" t="n">
        <f aca="false">X12-X15</f>
        <v>61169.8664231443</v>
      </c>
      <c r="Y16" s="11" t="n">
        <f aca="false">Y12-Y15</f>
        <v>65999.0664039188</v>
      </c>
      <c r="Z16" s="11" t="n">
        <f aca="false">Z12-Z15</f>
        <v>276008.095701189</v>
      </c>
      <c r="AA16" s="11" t="n">
        <f aca="false">AA12-AA15</f>
        <v>365710.726804075</v>
      </c>
      <c r="AB16" s="11" t="n">
        <f aca="false">AB12-AB15</f>
        <v>476259.855077992</v>
      </c>
      <c r="AC16" s="11" t="n">
        <f aca="false">AC12-AC15</f>
        <v>587017.960910084</v>
      </c>
      <c r="AD16" s="11" t="n">
        <f aca="false">AD12-AD15</f>
        <v>720607.710102489</v>
      </c>
      <c r="AE16" s="11" t="n">
        <f aca="false">AE12-AE15</f>
        <v>909338.300843617</v>
      </c>
      <c r="AF16" s="11" t="n">
        <f aca="false">AF12-AF15</f>
        <v>1130974.3560359</v>
      </c>
      <c r="AG16" s="11" t="n">
        <f aca="false">AG12-AG15</f>
        <v>1362310.01977052</v>
      </c>
      <c r="AH16" s="11" t="n">
        <f aca="false">AH12-AH15</f>
        <v>1583909.54339181</v>
      </c>
      <c r="AI16" s="11" t="n">
        <f aca="false">AI12-AI15</f>
        <v>1857239.06636651</v>
      </c>
      <c r="AJ16" s="11" t="n">
        <f aca="false">AJ12-AJ15</f>
        <v>2173415.44502474</v>
      </c>
      <c r="AK16" s="11" t="n">
        <f aca="false">AK12-AK15</f>
        <v>2504152.57796329</v>
      </c>
      <c r="AL16" s="13" t="n">
        <f aca="false">SUM(B16:M16)</f>
        <v>91459.9385982557</v>
      </c>
      <c r="AM16" s="13" t="n">
        <f aca="false">SUM(N16:Y16)</f>
        <v>486227.638411149</v>
      </c>
      <c r="AN16" s="13" t="n">
        <f aca="false">SUM(Z16:AC16)</f>
        <v>1704996.63849334</v>
      </c>
      <c r="AO16" s="13" t="n">
        <f aca="false">SUM(AD16:AG16)</f>
        <v>4123230.38675252</v>
      </c>
      <c r="AP16" s="13" t="n">
        <f aca="false">SUM(AH16:AK16)</f>
        <v>8118716.63274635</v>
      </c>
    </row>
    <row r="17" customFormat="false" ht="15" hidden="false" customHeight="false" outlineLevel="0" collapsed="false">
      <c r="A17" s="5" t="s">
        <v>121</v>
      </c>
      <c r="B17" s="15" t="n">
        <f aca="false">IF(B12=0,0,B16/B12)</f>
        <v>0.65</v>
      </c>
      <c r="C17" s="15" t="n">
        <f aca="false">IF(C12=0,0,C16/C12)</f>
        <v>0.65</v>
      </c>
      <c r="D17" s="15" t="n">
        <f aca="false">IF(D12=0,0,D16/D12)</f>
        <v>0.65</v>
      </c>
      <c r="E17" s="15" t="n">
        <f aca="false">IF(E12=0,0,E16/E12)</f>
        <v>0.65</v>
      </c>
      <c r="F17" s="15" t="n">
        <f aca="false">IF(F12=0,0,F16/F12)</f>
        <v>0.65</v>
      </c>
      <c r="G17" s="15" t="n">
        <f aca="false">IF(G12=0,0,G16/G12)</f>
        <v>0.65</v>
      </c>
      <c r="H17" s="15" t="n">
        <f aca="false">IF(H12=0,0,H16/H12)</f>
        <v>0.65</v>
      </c>
      <c r="I17" s="15" t="n">
        <f aca="false">IF(I12=0,0,I16/I12)</f>
        <v>0.65</v>
      </c>
      <c r="J17" s="15" t="n">
        <f aca="false">IF(J12=0,0,J16/J12)</f>
        <v>0.65</v>
      </c>
      <c r="K17" s="15" t="n">
        <f aca="false">IF(K12=0,0,K16/K12)</f>
        <v>0.65</v>
      </c>
      <c r="L17" s="15" t="n">
        <f aca="false">IF(L12=0,0,L16/L12)</f>
        <v>0.65</v>
      </c>
      <c r="M17" s="15" t="n">
        <f aca="false">IF(M12=0,0,M16/M12)</f>
        <v>0.65</v>
      </c>
      <c r="N17" s="15" t="n">
        <f aca="false">IF(N12=0,0,N16/N12)</f>
        <v>0.7</v>
      </c>
      <c r="O17" s="15" t="n">
        <f aca="false">IF(O12=0,0,O16/O12)</f>
        <v>0.7</v>
      </c>
      <c r="P17" s="15" t="n">
        <f aca="false">IF(P12=0,0,P16/P12)</f>
        <v>0.7</v>
      </c>
      <c r="Q17" s="15" t="n">
        <f aca="false">IF(Q12=0,0,Q16/Q12)</f>
        <v>0.7</v>
      </c>
      <c r="R17" s="15" t="n">
        <f aca="false">IF(R12=0,0,R16/R12)</f>
        <v>0.7</v>
      </c>
      <c r="S17" s="15" t="n">
        <f aca="false">IF(S12=0,0,S16/S12)</f>
        <v>0.7</v>
      </c>
      <c r="T17" s="15" t="n">
        <f aca="false">IF(T12=0,0,T16/T12)</f>
        <v>0.7</v>
      </c>
      <c r="U17" s="15" t="n">
        <f aca="false">IF(U12=0,0,U16/U12)</f>
        <v>0.7</v>
      </c>
      <c r="V17" s="15" t="n">
        <f aca="false">IF(V12=0,0,V16/V12)</f>
        <v>0.7</v>
      </c>
      <c r="W17" s="15" t="n">
        <f aca="false">IF(W12=0,0,W16/W12)</f>
        <v>0.7</v>
      </c>
      <c r="X17" s="15" t="n">
        <f aca="false">IF(X12=0,0,X16/X12)</f>
        <v>0.7</v>
      </c>
      <c r="Y17" s="15" t="n">
        <f aca="false">IF(Y12=0,0,Y16/Y12)</f>
        <v>0.7</v>
      </c>
      <c r="Z17" s="15" t="n">
        <f aca="false">IF(Z12=0,0,Z16/Z12)</f>
        <v>0.72</v>
      </c>
      <c r="AA17" s="15" t="n">
        <f aca="false">IF(AA12=0,0,AA16/AA12)</f>
        <v>0.72</v>
      </c>
      <c r="AB17" s="15" t="n">
        <f aca="false">IF(AB12=0,0,AB16/AB12)</f>
        <v>0.72</v>
      </c>
      <c r="AC17" s="15" t="n">
        <f aca="false">IF(AC12=0,0,AC16/AC12)</f>
        <v>0.72</v>
      </c>
      <c r="AD17" s="15" t="n">
        <f aca="false">IF(AD12=0,0,AD16/AD12)</f>
        <v>0.75</v>
      </c>
      <c r="AE17" s="15" t="n">
        <f aca="false">IF(AE12=0,0,AE16/AE12)</f>
        <v>0.75</v>
      </c>
      <c r="AF17" s="15" t="n">
        <f aca="false">IF(AF12=0,0,AF16/AF12)</f>
        <v>0.75</v>
      </c>
      <c r="AG17" s="15" t="n">
        <f aca="false">IF(AG12=0,0,AG16/AG12)</f>
        <v>0.75</v>
      </c>
      <c r="AH17" s="15" t="n">
        <f aca="false">IF(AH12=0,0,AH16/AH12)</f>
        <v>0.78</v>
      </c>
      <c r="AI17" s="15" t="n">
        <f aca="false">IF(AI12=0,0,AI16/AI12)</f>
        <v>0.78</v>
      </c>
      <c r="AJ17" s="15" t="n">
        <f aca="false">IF(AJ12=0,0,AJ16/AJ12)</f>
        <v>0.78</v>
      </c>
      <c r="AK17" s="15" t="n">
        <f aca="false">IF(AK12=0,0,AK16/AK12)</f>
        <v>0.78</v>
      </c>
      <c r="AL17" s="16" t="n">
        <f aca="false">IF(AL12=0,0,AL16/AL12)</f>
        <v>0.65</v>
      </c>
      <c r="AM17" s="16" t="n">
        <f aca="false">IF(AM12=0,0,AM16/AM12)</f>
        <v>0.7</v>
      </c>
      <c r="AN17" s="16" t="n">
        <f aca="false">IF(AN12=0,0,AN16/AN12)</f>
        <v>0.72</v>
      </c>
      <c r="AO17" s="16" t="n">
        <f aca="false">IF(AO12=0,0,AO16/AO12)</f>
        <v>0.75</v>
      </c>
      <c r="AP17" s="16" t="n">
        <f aca="false">IF(AP12=0,0,AP16/AP12)</f>
        <v>0.78</v>
      </c>
    </row>
    <row r="19" customFormat="false" ht="15" hidden="false" customHeight="false" outlineLevel="0" collapsed="false">
      <c r="A19" s="3" t="s">
        <v>122</v>
      </c>
    </row>
    <row r="20" customFormat="false" ht="15" hidden="false" customHeight="false" outlineLevel="0" collapsed="false">
      <c r="A20" s="5" t="s">
        <v>123</v>
      </c>
      <c r="B20" s="11" t="n">
        <f aca="false">Assumptions!B30</f>
        <v>37500</v>
      </c>
      <c r="C20" s="11" t="n">
        <f aca="false">Assumptions!B30</f>
        <v>37500</v>
      </c>
      <c r="D20" s="11" t="n">
        <f aca="false">Assumptions!B30</f>
        <v>37500</v>
      </c>
      <c r="E20" s="11" t="n">
        <f aca="false">Assumptions!B30</f>
        <v>37500</v>
      </c>
      <c r="F20" s="11" t="n">
        <f aca="false">Assumptions!B30</f>
        <v>37500</v>
      </c>
      <c r="G20" s="11" t="n">
        <f aca="false">Assumptions!B30</f>
        <v>37500</v>
      </c>
      <c r="H20" s="11" t="n">
        <f aca="false">Assumptions!B30</f>
        <v>37500</v>
      </c>
      <c r="I20" s="11" t="n">
        <f aca="false">Assumptions!B30</f>
        <v>37500</v>
      </c>
      <c r="J20" s="11" t="n">
        <f aca="false">Assumptions!B30</f>
        <v>37500</v>
      </c>
      <c r="K20" s="11" t="n">
        <f aca="false">Assumptions!B30</f>
        <v>37500</v>
      </c>
      <c r="L20" s="11" t="n">
        <f aca="false">Assumptions!B30</f>
        <v>37500</v>
      </c>
      <c r="M20" s="11" t="n">
        <f aca="false">Assumptions!B30</f>
        <v>37500</v>
      </c>
      <c r="N20" s="11" t="n">
        <f aca="false">Assumptions!B31</f>
        <v>100000</v>
      </c>
      <c r="O20" s="11" t="n">
        <f aca="false">Assumptions!B31</f>
        <v>100000</v>
      </c>
      <c r="P20" s="11" t="n">
        <f aca="false">Assumptions!B31</f>
        <v>100000</v>
      </c>
      <c r="Q20" s="11" t="n">
        <f aca="false">Assumptions!B31</f>
        <v>100000</v>
      </c>
      <c r="R20" s="11" t="n">
        <f aca="false">Assumptions!B31</f>
        <v>100000</v>
      </c>
      <c r="S20" s="11" t="n">
        <f aca="false">Assumptions!B31</f>
        <v>100000</v>
      </c>
      <c r="T20" s="11" t="n">
        <f aca="false">Assumptions!B31</f>
        <v>100000</v>
      </c>
      <c r="U20" s="11" t="n">
        <f aca="false">Assumptions!B31</f>
        <v>100000</v>
      </c>
      <c r="V20" s="11" t="n">
        <f aca="false">Assumptions!B31</f>
        <v>100000</v>
      </c>
      <c r="W20" s="11" t="n">
        <f aca="false">Assumptions!B31</f>
        <v>100000</v>
      </c>
      <c r="X20" s="11" t="n">
        <f aca="false">Assumptions!B31</f>
        <v>100000</v>
      </c>
      <c r="Y20" s="11" t="n">
        <f aca="false">Assumptions!B31</f>
        <v>100000</v>
      </c>
      <c r="Z20" s="11" t="n">
        <f aca="false">Assumptions!B32*3</f>
        <v>549000</v>
      </c>
      <c r="AA20" s="11" t="n">
        <f aca="false">Assumptions!B32*3</f>
        <v>549000</v>
      </c>
      <c r="AB20" s="11" t="n">
        <f aca="false">Assumptions!B32*3</f>
        <v>549000</v>
      </c>
      <c r="AC20" s="11" t="n">
        <f aca="false">Assumptions!B32*3</f>
        <v>549000</v>
      </c>
      <c r="AD20" s="11" t="n">
        <f aca="false">Assumptions!B33*3</f>
        <v>999000</v>
      </c>
      <c r="AE20" s="11" t="n">
        <f aca="false">Assumptions!B33*3</f>
        <v>999000</v>
      </c>
      <c r="AF20" s="11" t="n">
        <f aca="false">Assumptions!B33*3</f>
        <v>999000</v>
      </c>
      <c r="AG20" s="11" t="n">
        <f aca="false">Assumptions!B33*3</f>
        <v>999000</v>
      </c>
      <c r="AH20" s="11" t="n">
        <f aca="false">Assumptions!B34*3</f>
        <v>1626000</v>
      </c>
      <c r="AI20" s="11" t="n">
        <f aca="false">Assumptions!B34*3</f>
        <v>1626000</v>
      </c>
      <c r="AJ20" s="11" t="n">
        <f aca="false">Assumptions!B34*3</f>
        <v>1626000</v>
      </c>
      <c r="AK20" s="11" t="n">
        <f aca="false">Assumptions!B34*3</f>
        <v>1626000</v>
      </c>
      <c r="AL20" s="13" t="n">
        <f aca="false">SUM(B20:M20)</f>
        <v>450000</v>
      </c>
      <c r="AM20" s="13" t="n">
        <f aca="false">SUM(N20:Y20)</f>
        <v>1200000</v>
      </c>
      <c r="AN20" s="13" t="n">
        <f aca="false">SUM(Z20:AC20)</f>
        <v>2196000</v>
      </c>
      <c r="AO20" s="13" t="n">
        <f aca="false">SUM(AD20:AG20)</f>
        <v>3996000</v>
      </c>
      <c r="AP20" s="13" t="n">
        <f aca="false">SUM(AH20:AK20)</f>
        <v>6504000</v>
      </c>
    </row>
    <row r="21" customFormat="false" ht="15" hidden="false" customHeight="false" outlineLevel="0" collapsed="false">
      <c r="A21" s="5" t="s">
        <v>124</v>
      </c>
      <c r="B21" s="11" t="n">
        <f aca="false">Assumptions!B35</f>
        <v>10000</v>
      </c>
      <c r="C21" s="11" t="n">
        <f aca="false">Assumptions!B35</f>
        <v>10000</v>
      </c>
      <c r="D21" s="11" t="n">
        <f aca="false">Assumptions!B35</f>
        <v>10000</v>
      </c>
      <c r="E21" s="11" t="n">
        <f aca="false">Assumptions!B35</f>
        <v>10000</v>
      </c>
      <c r="F21" s="11" t="n">
        <f aca="false">Assumptions!B35</f>
        <v>10000</v>
      </c>
      <c r="G21" s="11" t="n">
        <f aca="false">Assumptions!B35</f>
        <v>10000</v>
      </c>
      <c r="H21" s="11" t="n">
        <f aca="false">Assumptions!B35</f>
        <v>10000</v>
      </c>
      <c r="I21" s="11" t="n">
        <f aca="false">Assumptions!B35</f>
        <v>10000</v>
      </c>
      <c r="J21" s="11" t="n">
        <f aca="false">Assumptions!B35</f>
        <v>10000</v>
      </c>
      <c r="K21" s="11" t="n">
        <f aca="false">Assumptions!B35</f>
        <v>10000</v>
      </c>
      <c r="L21" s="11" t="n">
        <f aca="false">Assumptions!B35</f>
        <v>10000</v>
      </c>
      <c r="M21" s="11" t="n">
        <f aca="false">Assumptions!B35</f>
        <v>10000</v>
      </c>
      <c r="N21" s="11" t="n">
        <f aca="false">Assumptions!B36</f>
        <v>21000</v>
      </c>
      <c r="O21" s="11" t="n">
        <f aca="false">Assumptions!B36</f>
        <v>21000</v>
      </c>
      <c r="P21" s="11" t="n">
        <f aca="false">Assumptions!B36</f>
        <v>21000</v>
      </c>
      <c r="Q21" s="11" t="n">
        <f aca="false">Assumptions!B36</f>
        <v>21000</v>
      </c>
      <c r="R21" s="11" t="n">
        <f aca="false">Assumptions!B36</f>
        <v>21000</v>
      </c>
      <c r="S21" s="11" t="n">
        <f aca="false">Assumptions!B36</f>
        <v>21000</v>
      </c>
      <c r="T21" s="11" t="n">
        <f aca="false">Assumptions!B36</f>
        <v>21000</v>
      </c>
      <c r="U21" s="11" t="n">
        <f aca="false">Assumptions!B36</f>
        <v>21000</v>
      </c>
      <c r="V21" s="11" t="n">
        <f aca="false">Assumptions!B36</f>
        <v>21000</v>
      </c>
      <c r="W21" s="11" t="n">
        <f aca="false">Assumptions!B36</f>
        <v>21000</v>
      </c>
      <c r="X21" s="11" t="n">
        <f aca="false">Assumptions!B36</f>
        <v>21000</v>
      </c>
      <c r="Y21" s="11" t="n">
        <f aca="false">Assumptions!B36</f>
        <v>21000</v>
      </c>
      <c r="Z21" s="11" t="n">
        <f aca="false">Assumptions!B37*3</f>
        <v>112500</v>
      </c>
      <c r="AA21" s="11" t="n">
        <f aca="false">Assumptions!B37*3</f>
        <v>112500</v>
      </c>
      <c r="AB21" s="11" t="n">
        <f aca="false">Assumptions!B37*3</f>
        <v>112500</v>
      </c>
      <c r="AC21" s="11" t="n">
        <f aca="false">Assumptions!B37*3</f>
        <v>112500</v>
      </c>
      <c r="AD21" s="11" t="n">
        <f aca="false">Assumptions!B38*3</f>
        <v>201000</v>
      </c>
      <c r="AE21" s="11" t="n">
        <f aca="false">Assumptions!B38*3</f>
        <v>201000</v>
      </c>
      <c r="AF21" s="11" t="n">
        <f aca="false">Assumptions!B38*3</f>
        <v>201000</v>
      </c>
      <c r="AG21" s="11" t="n">
        <f aca="false">Assumptions!B38*3</f>
        <v>201000</v>
      </c>
      <c r="AH21" s="11" t="n">
        <f aca="false">Assumptions!B39*3</f>
        <v>300000</v>
      </c>
      <c r="AI21" s="11" t="n">
        <f aca="false">Assumptions!B39*3</f>
        <v>300000</v>
      </c>
      <c r="AJ21" s="11" t="n">
        <f aca="false">Assumptions!B39*3</f>
        <v>300000</v>
      </c>
      <c r="AK21" s="11" t="n">
        <f aca="false">Assumptions!B39*3</f>
        <v>300000</v>
      </c>
      <c r="AL21" s="13" t="n">
        <f aca="false">SUM(B21:M21)</f>
        <v>120000</v>
      </c>
      <c r="AM21" s="13" t="n">
        <f aca="false">SUM(N21:Y21)</f>
        <v>252000</v>
      </c>
      <c r="AN21" s="13" t="n">
        <f aca="false">SUM(Z21:AC21)</f>
        <v>450000</v>
      </c>
      <c r="AO21" s="13" t="n">
        <f aca="false">SUM(AD21:AG21)</f>
        <v>804000</v>
      </c>
      <c r="AP21" s="13" t="n">
        <f aca="false">SUM(AH21:AK21)</f>
        <v>1200000</v>
      </c>
    </row>
    <row r="22" customFormat="false" ht="15" hidden="false" customHeight="false" outlineLevel="0" collapsed="false">
      <c r="A22" s="5" t="s">
        <v>125</v>
      </c>
      <c r="B22" s="11" t="n">
        <f aca="false">Assumptions!B40</f>
        <v>12500</v>
      </c>
      <c r="C22" s="11" t="n">
        <f aca="false">Assumptions!B40</f>
        <v>12500</v>
      </c>
      <c r="D22" s="11" t="n">
        <f aca="false">Assumptions!B40</f>
        <v>12500</v>
      </c>
      <c r="E22" s="11" t="n">
        <f aca="false">Assumptions!B40</f>
        <v>12500</v>
      </c>
      <c r="F22" s="11" t="n">
        <f aca="false">Assumptions!B40</f>
        <v>12500</v>
      </c>
      <c r="G22" s="11" t="n">
        <f aca="false">Assumptions!B40</f>
        <v>12500</v>
      </c>
      <c r="H22" s="11" t="n">
        <f aca="false">Assumptions!B40</f>
        <v>12500</v>
      </c>
      <c r="I22" s="11" t="n">
        <f aca="false">Assumptions!B40</f>
        <v>12500</v>
      </c>
      <c r="J22" s="11" t="n">
        <f aca="false">Assumptions!B40</f>
        <v>12500</v>
      </c>
      <c r="K22" s="11" t="n">
        <f aca="false">Assumptions!B40</f>
        <v>12500</v>
      </c>
      <c r="L22" s="11" t="n">
        <f aca="false">Assumptions!B40</f>
        <v>12500</v>
      </c>
      <c r="M22" s="11" t="n">
        <f aca="false">Assumptions!B40</f>
        <v>12500</v>
      </c>
      <c r="N22" s="11" t="n">
        <f aca="false">Assumptions!B41</f>
        <v>25000</v>
      </c>
      <c r="O22" s="11" t="n">
        <f aca="false">Assumptions!B41</f>
        <v>25000</v>
      </c>
      <c r="P22" s="11" t="n">
        <f aca="false">Assumptions!B41</f>
        <v>25000</v>
      </c>
      <c r="Q22" s="11" t="n">
        <f aca="false">Assumptions!B41</f>
        <v>25000</v>
      </c>
      <c r="R22" s="11" t="n">
        <f aca="false">Assumptions!B41</f>
        <v>25000</v>
      </c>
      <c r="S22" s="11" t="n">
        <f aca="false">Assumptions!B41</f>
        <v>25000</v>
      </c>
      <c r="T22" s="11" t="n">
        <f aca="false">Assumptions!B41</f>
        <v>25000</v>
      </c>
      <c r="U22" s="11" t="n">
        <f aca="false">Assumptions!B41</f>
        <v>25000</v>
      </c>
      <c r="V22" s="11" t="n">
        <f aca="false">Assumptions!B41</f>
        <v>25000</v>
      </c>
      <c r="W22" s="11" t="n">
        <f aca="false">Assumptions!B41</f>
        <v>25000</v>
      </c>
      <c r="X22" s="11" t="n">
        <f aca="false">Assumptions!B41</f>
        <v>25000</v>
      </c>
      <c r="Y22" s="11" t="n">
        <f aca="false">Assumptions!B41</f>
        <v>25000</v>
      </c>
      <c r="Z22" s="11" t="n">
        <f aca="false">Assumptions!B42*3</f>
        <v>99000</v>
      </c>
      <c r="AA22" s="11" t="n">
        <f aca="false">Assumptions!B42*3</f>
        <v>99000</v>
      </c>
      <c r="AB22" s="11" t="n">
        <f aca="false">Assumptions!B42*3</f>
        <v>99000</v>
      </c>
      <c r="AC22" s="11" t="n">
        <f aca="false">Assumptions!B42*3</f>
        <v>99000</v>
      </c>
      <c r="AD22" s="11" t="n">
        <f aca="false">Assumptions!B43*3</f>
        <v>126000</v>
      </c>
      <c r="AE22" s="11" t="n">
        <f aca="false">Assumptions!B43*3</f>
        <v>126000</v>
      </c>
      <c r="AF22" s="11" t="n">
        <f aca="false">Assumptions!B43*3</f>
        <v>126000</v>
      </c>
      <c r="AG22" s="11" t="n">
        <f aca="false">Assumptions!B43*3</f>
        <v>126000</v>
      </c>
      <c r="AH22" s="11" t="n">
        <f aca="false">Assumptions!B44*3</f>
        <v>150000</v>
      </c>
      <c r="AI22" s="11" t="n">
        <f aca="false">Assumptions!B44*3</f>
        <v>150000</v>
      </c>
      <c r="AJ22" s="11" t="n">
        <f aca="false">Assumptions!B44*3</f>
        <v>150000</v>
      </c>
      <c r="AK22" s="11" t="n">
        <f aca="false">Assumptions!B44*3</f>
        <v>150000</v>
      </c>
      <c r="AL22" s="13" t="n">
        <f aca="false">SUM(B22:M22)</f>
        <v>150000</v>
      </c>
      <c r="AM22" s="13" t="n">
        <f aca="false">SUM(N22:Y22)</f>
        <v>300000</v>
      </c>
      <c r="AN22" s="13" t="n">
        <f aca="false">SUM(Z22:AC22)</f>
        <v>396000</v>
      </c>
      <c r="AO22" s="13" t="n">
        <f aca="false">SUM(AD22:AG22)</f>
        <v>504000</v>
      </c>
      <c r="AP22" s="13" t="n">
        <f aca="false">SUM(AH22:AK22)</f>
        <v>600000</v>
      </c>
    </row>
    <row r="23" customFormat="false" ht="15" hidden="false" customHeight="false" outlineLevel="0" collapsed="false">
      <c r="A23" s="5" t="s">
        <v>126</v>
      </c>
      <c r="B23" s="11" t="n">
        <f aca="false">Assumptions!B45</f>
        <v>2500</v>
      </c>
      <c r="C23" s="11" t="n">
        <f aca="false">Assumptions!B45</f>
        <v>2500</v>
      </c>
      <c r="D23" s="11" t="n">
        <f aca="false">Assumptions!B45</f>
        <v>2500</v>
      </c>
      <c r="E23" s="11" t="n">
        <f aca="false">Assumptions!B45</f>
        <v>2500</v>
      </c>
      <c r="F23" s="11" t="n">
        <f aca="false">Assumptions!B45</f>
        <v>2500</v>
      </c>
      <c r="G23" s="11" t="n">
        <f aca="false">Assumptions!B45</f>
        <v>2500</v>
      </c>
      <c r="H23" s="11" t="n">
        <f aca="false">Assumptions!B45</f>
        <v>2500</v>
      </c>
      <c r="I23" s="11" t="n">
        <f aca="false">Assumptions!B45</f>
        <v>2500</v>
      </c>
      <c r="J23" s="11" t="n">
        <f aca="false">Assumptions!B45</f>
        <v>2500</v>
      </c>
      <c r="K23" s="11" t="n">
        <f aca="false">Assumptions!B45</f>
        <v>2500</v>
      </c>
      <c r="L23" s="11" t="n">
        <f aca="false">Assumptions!B45</f>
        <v>2500</v>
      </c>
      <c r="M23" s="11" t="n">
        <f aca="false">Assumptions!B45</f>
        <v>2500</v>
      </c>
      <c r="N23" s="11" t="n">
        <f aca="false">Assumptions!B46</f>
        <v>12500</v>
      </c>
      <c r="O23" s="11" t="n">
        <f aca="false">Assumptions!B46</f>
        <v>12500</v>
      </c>
      <c r="P23" s="11" t="n">
        <f aca="false">Assumptions!B46</f>
        <v>12500</v>
      </c>
      <c r="Q23" s="11" t="n">
        <f aca="false">Assumptions!B46</f>
        <v>12500</v>
      </c>
      <c r="R23" s="11" t="n">
        <f aca="false">Assumptions!B46</f>
        <v>12500</v>
      </c>
      <c r="S23" s="11" t="n">
        <f aca="false">Assumptions!B46</f>
        <v>12500</v>
      </c>
      <c r="T23" s="11" t="n">
        <f aca="false">Assumptions!B46</f>
        <v>12500</v>
      </c>
      <c r="U23" s="11" t="n">
        <f aca="false">Assumptions!B46</f>
        <v>12500</v>
      </c>
      <c r="V23" s="11" t="n">
        <f aca="false">Assumptions!B46</f>
        <v>12500</v>
      </c>
      <c r="W23" s="11" t="n">
        <f aca="false">Assumptions!B46</f>
        <v>12500</v>
      </c>
      <c r="X23" s="11" t="n">
        <f aca="false">Assumptions!B46</f>
        <v>12500</v>
      </c>
      <c r="Y23" s="11" t="n">
        <f aca="false">Assumptions!B46</f>
        <v>12500</v>
      </c>
      <c r="Z23" s="11" t="n">
        <f aca="false">Assumptions!B47*3</f>
        <v>87000</v>
      </c>
      <c r="AA23" s="11" t="n">
        <f aca="false">Assumptions!B47*3</f>
        <v>87000</v>
      </c>
      <c r="AB23" s="11" t="n">
        <f aca="false">Assumptions!B47*3</f>
        <v>87000</v>
      </c>
      <c r="AC23" s="11" t="n">
        <f aca="false">Assumptions!B47*3</f>
        <v>87000</v>
      </c>
      <c r="AD23" s="11" t="n">
        <f aca="false">Assumptions!B48*3</f>
        <v>174000</v>
      </c>
      <c r="AE23" s="11" t="n">
        <f aca="false">Assumptions!B48*3</f>
        <v>174000</v>
      </c>
      <c r="AF23" s="11" t="n">
        <f aca="false">Assumptions!B48*3</f>
        <v>174000</v>
      </c>
      <c r="AG23" s="11" t="n">
        <f aca="false">Assumptions!B48*3</f>
        <v>174000</v>
      </c>
      <c r="AH23" s="11" t="n">
        <f aca="false">Assumptions!B49*3</f>
        <v>300000</v>
      </c>
      <c r="AI23" s="11" t="n">
        <f aca="false">Assumptions!B49*3</f>
        <v>300000</v>
      </c>
      <c r="AJ23" s="11" t="n">
        <f aca="false">Assumptions!B49*3</f>
        <v>300000</v>
      </c>
      <c r="AK23" s="11" t="n">
        <f aca="false">Assumptions!B49*3</f>
        <v>300000</v>
      </c>
      <c r="AL23" s="13" t="n">
        <f aca="false">SUM(B23:M23)</f>
        <v>30000</v>
      </c>
      <c r="AM23" s="13" t="n">
        <f aca="false">SUM(N23:Y23)</f>
        <v>150000</v>
      </c>
      <c r="AN23" s="13" t="n">
        <f aca="false">SUM(Z23:AC23)</f>
        <v>348000</v>
      </c>
      <c r="AO23" s="13" t="n">
        <f aca="false">SUM(AD23:AG23)</f>
        <v>696000</v>
      </c>
      <c r="AP23" s="13" t="n">
        <f aca="false">SUM(AH23:AK23)</f>
        <v>1200000</v>
      </c>
    </row>
    <row r="24" customFormat="false" ht="15" hidden="false" customHeight="false" outlineLevel="0" collapsed="false">
      <c r="A24" s="5" t="s">
        <v>127</v>
      </c>
      <c r="B24" s="11" t="n">
        <f aca="false">Assumptions!B50</f>
        <v>6250</v>
      </c>
      <c r="C24" s="11" t="n">
        <f aca="false">Assumptions!B50</f>
        <v>6250</v>
      </c>
      <c r="D24" s="11" t="n">
        <f aca="false">Assumptions!B50</f>
        <v>6250</v>
      </c>
      <c r="E24" s="11" t="n">
        <f aca="false">Assumptions!B50</f>
        <v>6250</v>
      </c>
      <c r="F24" s="11" t="n">
        <f aca="false">Assumptions!B50</f>
        <v>6250</v>
      </c>
      <c r="G24" s="11" t="n">
        <f aca="false">Assumptions!B50</f>
        <v>6250</v>
      </c>
      <c r="H24" s="11" t="n">
        <f aca="false">Assumptions!B50</f>
        <v>6250</v>
      </c>
      <c r="I24" s="11" t="n">
        <f aca="false">Assumptions!B50</f>
        <v>6250</v>
      </c>
      <c r="J24" s="11" t="n">
        <f aca="false">Assumptions!B50</f>
        <v>6250</v>
      </c>
      <c r="K24" s="11" t="n">
        <f aca="false">Assumptions!B50</f>
        <v>6250</v>
      </c>
      <c r="L24" s="11" t="n">
        <f aca="false">Assumptions!B50</f>
        <v>6250</v>
      </c>
      <c r="M24" s="11" t="n">
        <f aca="false">Assumptions!B50</f>
        <v>6250</v>
      </c>
      <c r="N24" s="11" t="n">
        <f aca="false">Assumptions!B51</f>
        <v>10000</v>
      </c>
      <c r="O24" s="11" t="n">
        <f aca="false">Assumptions!B51</f>
        <v>10000</v>
      </c>
      <c r="P24" s="11" t="n">
        <f aca="false">Assumptions!B51</f>
        <v>10000</v>
      </c>
      <c r="Q24" s="11" t="n">
        <f aca="false">Assumptions!B51</f>
        <v>10000</v>
      </c>
      <c r="R24" s="11" t="n">
        <f aca="false">Assumptions!B51</f>
        <v>10000</v>
      </c>
      <c r="S24" s="11" t="n">
        <f aca="false">Assumptions!B51</f>
        <v>10000</v>
      </c>
      <c r="T24" s="11" t="n">
        <f aca="false">Assumptions!B51</f>
        <v>10000</v>
      </c>
      <c r="U24" s="11" t="n">
        <f aca="false">Assumptions!B51</f>
        <v>10000</v>
      </c>
      <c r="V24" s="11" t="n">
        <f aca="false">Assumptions!B51</f>
        <v>10000</v>
      </c>
      <c r="W24" s="11" t="n">
        <f aca="false">Assumptions!B51</f>
        <v>10000</v>
      </c>
      <c r="X24" s="11" t="n">
        <f aca="false">Assumptions!B51</f>
        <v>10000</v>
      </c>
      <c r="Y24" s="11" t="n">
        <f aca="false">Assumptions!B51</f>
        <v>10000</v>
      </c>
      <c r="Z24" s="11" t="n">
        <f aca="false">Assumptions!B52*3</f>
        <v>51000</v>
      </c>
      <c r="AA24" s="11" t="n">
        <f aca="false">Assumptions!B52*3</f>
        <v>51000</v>
      </c>
      <c r="AB24" s="11" t="n">
        <f aca="false">Assumptions!B52*3</f>
        <v>51000</v>
      </c>
      <c r="AC24" s="11" t="n">
        <f aca="false">Assumptions!B52*3</f>
        <v>51000</v>
      </c>
      <c r="AD24" s="11" t="n">
        <f aca="false">Assumptions!B53*3</f>
        <v>90000</v>
      </c>
      <c r="AE24" s="11" t="n">
        <f aca="false">Assumptions!B53*3</f>
        <v>90000</v>
      </c>
      <c r="AF24" s="11" t="n">
        <f aca="false">Assumptions!B53*3</f>
        <v>90000</v>
      </c>
      <c r="AG24" s="11" t="n">
        <f aca="false">Assumptions!B53*3</f>
        <v>90000</v>
      </c>
      <c r="AH24" s="11" t="n">
        <f aca="false">Assumptions!B54*3</f>
        <v>126000</v>
      </c>
      <c r="AI24" s="11" t="n">
        <f aca="false">Assumptions!B54*3</f>
        <v>126000</v>
      </c>
      <c r="AJ24" s="11" t="n">
        <f aca="false">Assumptions!B54*3</f>
        <v>126000</v>
      </c>
      <c r="AK24" s="11" t="n">
        <f aca="false">Assumptions!B54*3</f>
        <v>126000</v>
      </c>
      <c r="AL24" s="13" t="n">
        <f aca="false">SUM(B24:M24)</f>
        <v>75000</v>
      </c>
      <c r="AM24" s="13" t="n">
        <f aca="false">SUM(N24:Y24)</f>
        <v>120000</v>
      </c>
      <c r="AN24" s="13" t="n">
        <f aca="false">SUM(Z24:AC24)</f>
        <v>204000</v>
      </c>
      <c r="AO24" s="13" t="n">
        <f aca="false">SUM(AD24:AG24)</f>
        <v>360000</v>
      </c>
      <c r="AP24" s="13" t="n">
        <f aca="false">SUM(AH24:AK24)</f>
        <v>504000</v>
      </c>
    </row>
    <row r="25" customFormat="false" ht="15" hidden="false" customHeight="false" outlineLevel="0" collapsed="false">
      <c r="A25" s="14" t="s">
        <v>128</v>
      </c>
      <c r="B25" s="11" t="n">
        <f aca="false">B20+B21+B22+B23+B24</f>
        <v>68750</v>
      </c>
      <c r="C25" s="11" t="n">
        <f aca="false">C20+C21+C22+C23+C24</f>
        <v>68750</v>
      </c>
      <c r="D25" s="11" t="n">
        <f aca="false">D20+D21+D22+D23+D24</f>
        <v>68750</v>
      </c>
      <c r="E25" s="11" t="n">
        <f aca="false">E20+E21+E22+E23+E24</f>
        <v>68750</v>
      </c>
      <c r="F25" s="11" t="n">
        <f aca="false">F20+F21+F22+F23+F24</f>
        <v>68750</v>
      </c>
      <c r="G25" s="11" t="n">
        <f aca="false">G20+G21+G22+G23+G24</f>
        <v>68750</v>
      </c>
      <c r="H25" s="11" t="n">
        <f aca="false">H20+H21+H22+H23+H24</f>
        <v>68750</v>
      </c>
      <c r="I25" s="11" t="n">
        <f aca="false">I20+I21+I22+I23+I24</f>
        <v>68750</v>
      </c>
      <c r="J25" s="11" t="n">
        <f aca="false">J20+J21+J22+J23+J24</f>
        <v>68750</v>
      </c>
      <c r="K25" s="11" t="n">
        <f aca="false">K20+K21+K22+K23+K24</f>
        <v>68750</v>
      </c>
      <c r="L25" s="11" t="n">
        <f aca="false">L20+L21+L22+L23+L24</f>
        <v>68750</v>
      </c>
      <c r="M25" s="11" t="n">
        <f aca="false">M20+M21+M22+M23+M24</f>
        <v>68750</v>
      </c>
      <c r="N25" s="11" t="n">
        <f aca="false">N20+N21+N22+N23+N24</f>
        <v>168500</v>
      </c>
      <c r="O25" s="11" t="n">
        <f aca="false">O20+O21+O22+O23+O24</f>
        <v>168500</v>
      </c>
      <c r="P25" s="11" t="n">
        <f aca="false">P20+P21+P22+P23+P24</f>
        <v>168500</v>
      </c>
      <c r="Q25" s="11" t="n">
        <f aca="false">Q20+Q21+Q22+Q23+Q24</f>
        <v>168500</v>
      </c>
      <c r="R25" s="11" t="n">
        <f aca="false">R20+R21+R22+R23+R24</f>
        <v>168500</v>
      </c>
      <c r="S25" s="11" t="n">
        <f aca="false">S20+S21+S22+S23+S24</f>
        <v>168500</v>
      </c>
      <c r="T25" s="11" t="n">
        <f aca="false">T20+T21+T22+T23+T24</f>
        <v>168500</v>
      </c>
      <c r="U25" s="11" t="n">
        <f aca="false">U20+U21+U22+U23+U24</f>
        <v>168500</v>
      </c>
      <c r="V25" s="11" t="n">
        <f aca="false">V20+V21+V22+V23+V24</f>
        <v>168500</v>
      </c>
      <c r="W25" s="11" t="n">
        <f aca="false">W20+W21+W22+W23+W24</f>
        <v>168500</v>
      </c>
      <c r="X25" s="11" t="n">
        <f aca="false">X20+X21+X22+X23+X24</f>
        <v>168500</v>
      </c>
      <c r="Y25" s="11" t="n">
        <f aca="false">Y20+Y21+Y22+Y23+Y24</f>
        <v>168500</v>
      </c>
      <c r="Z25" s="11" t="n">
        <f aca="false">Z20+Z21+Z22+Z23+Z24</f>
        <v>898500</v>
      </c>
      <c r="AA25" s="11" t="n">
        <f aca="false">AA20+AA21+AA22+AA23+AA24</f>
        <v>898500</v>
      </c>
      <c r="AB25" s="11" t="n">
        <f aca="false">AB20+AB21+AB22+AB23+AB24</f>
        <v>898500</v>
      </c>
      <c r="AC25" s="11" t="n">
        <f aca="false">AC20+AC21+AC22+AC23+AC24</f>
        <v>898500</v>
      </c>
      <c r="AD25" s="11" t="n">
        <f aca="false">AD20+AD21+AD22+AD23+AD24</f>
        <v>1590000</v>
      </c>
      <c r="AE25" s="11" t="n">
        <f aca="false">AE20+AE21+AE22+AE23+AE24</f>
        <v>1590000</v>
      </c>
      <c r="AF25" s="11" t="n">
        <f aca="false">AF20+AF21+AF22+AF23+AF24</f>
        <v>1590000</v>
      </c>
      <c r="AG25" s="11" t="n">
        <f aca="false">AG20+AG21+AG22+AG23+AG24</f>
        <v>1590000</v>
      </c>
      <c r="AH25" s="11" t="n">
        <f aca="false">AH20+AH21+AH22+AH23+AH24</f>
        <v>2502000</v>
      </c>
      <c r="AI25" s="11" t="n">
        <f aca="false">AI20+AI21+AI22+AI23+AI24</f>
        <v>2502000</v>
      </c>
      <c r="AJ25" s="11" t="n">
        <f aca="false">AJ20+AJ21+AJ22+AJ23+AJ24</f>
        <v>2502000</v>
      </c>
      <c r="AK25" s="11" t="n">
        <f aca="false">AK20+AK21+AK22+AK23+AK24</f>
        <v>2502000</v>
      </c>
      <c r="AL25" s="13" t="n">
        <f aca="false">SUM(B25:M25)</f>
        <v>825000</v>
      </c>
      <c r="AM25" s="13" t="n">
        <f aca="false">SUM(N25:Y25)</f>
        <v>2022000</v>
      </c>
      <c r="AN25" s="13" t="n">
        <f aca="false">SUM(Z25:AC25)</f>
        <v>3594000</v>
      </c>
      <c r="AO25" s="13" t="n">
        <f aca="false">SUM(AD25:AG25)</f>
        <v>6360000</v>
      </c>
      <c r="AP25" s="13" t="n">
        <f aca="false">SUM(AH25:AK25)</f>
        <v>10008000</v>
      </c>
    </row>
    <row r="27" customFormat="false" ht="15" hidden="false" customHeight="false" outlineLevel="0" collapsed="false">
      <c r="A27" s="14" t="s">
        <v>129</v>
      </c>
      <c r="B27" s="11" t="n">
        <f aca="false">B16-B25</f>
        <v>-66995</v>
      </c>
      <c r="C27" s="11" t="n">
        <f aca="false">C16-C25</f>
        <v>-66942.35</v>
      </c>
      <c r="D27" s="11" t="n">
        <f aca="false">D16-D25</f>
        <v>-65026.241</v>
      </c>
      <c r="E27" s="11" t="n">
        <f aca="false">E16-E25</f>
        <v>-64914.52823</v>
      </c>
      <c r="F27" s="11" t="n">
        <f aca="false">F16-F25</f>
        <v>-62824.19611535</v>
      </c>
      <c r="G27" s="11" t="n">
        <f aca="false">G16-G25</f>
        <v>-62646.4219988105</v>
      </c>
      <c r="H27" s="11" t="n">
        <f aca="false">H16-H25</f>
        <v>-60367.7528783664</v>
      </c>
      <c r="I27" s="11" t="n">
        <f aca="false">I16-I25</f>
        <v>-60116.2854647174</v>
      </c>
      <c r="J27" s="11" t="n">
        <f aca="false">J16-J25</f>
        <v>-57634.0925358237</v>
      </c>
      <c r="K27" s="11" t="n">
        <f aca="false">K16-K25</f>
        <v>-57300.6153118984</v>
      </c>
      <c r="L27" s="11" t="n">
        <f aca="false">L16-L25</f>
        <v>-54598.5605255064</v>
      </c>
      <c r="M27" s="11" t="n">
        <f aca="false">M16-M25</f>
        <v>-54174.0173412716</v>
      </c>
      <c r="N27" s="11" t="n">
        <f aca="false">N16-N25</f>
        <v>-150894.704569223</v>
      </c>
      <c r="O27" s="11" t="n">
        <f aca="false">O16-O25</f>
        <v>-147876.653923947</v>
      </c>
      <c r="P27" s="11" t="n">
        <f aca="false">P16-P25</f>
        <v>-142076.337840058</v>
      </c>
      <c r="Q27" s="11" t="n">
        <f aca="false">Q16-Q25</f>
        <v>-138707.320914665</v>
      </c>
      <c r="R27" s="11" t="n">
        <f aca="false">R16-R25</f>
        <v>-135186.367931853</v>
      </c>
      <c r="S27" s="11" t="n">
        <f aca="false">S16-S25</f>
        <v>-131507.987724328</v>
      </c>
      <c r="T27" s="11" t="n">
        <f aca="false">T16-T25</f>
        <v>-127666.50952647</v>
      </c>
      <c r="U27" s="11" t="n">
        <f aca="false">U16-U25</f>
        <v>-123656.077426391</v>
      </c>
      <c r="V27" s="11" t="n">
        <f aca="false">V16-V25</f>
        <v>-116406.309943657</v>
      </c>
      <c r="W27" s="11" t="n">
        <f aca="false">W16-W25</f>
        <v>-111963.024615322</v>
      </c>
      <c r="X27" s="11" t="n">
        <f aca="false">X16-X25</f>
        <v>-107330.133576856</v>
      </c>
      <c r="Y27" s="11" t="n">
        <f aca="false">Y16-Y25</f>
        <v>-102500.933596081</v>
      </c>
      <c r="Z27" s="11" t="n">
        <f aca="false">Z16-Z25</f>
        <v>-622491.904298812</v>
      </c>
      <c r="AA27" s="11" t="n">
        <f aca="false">AA16-AA25</f>
        <v>-532789.273195925</v>
      </c>
      <c r="AB27" s="11" t="n">
        <f aca="false">AB16-AB25</f>
        <v>-422240.144922008</v>
      </c>
      <c r="AC27" s="11" t="n">
        <f aca="false">AC16-AC25</f>
        <v>-311482.039089917</v>
      </c>
      <c r="AD27" s="11" t="n">
        <f aca="false">AD16-AD25</f>
        <v>-869392.289897512</v>
      </c>
      <c r="AE27" s="11" t="n">
        <f aca="false">AE16-AE25</f>
        <v>-680661.699156384</v>
      </c>
      <c r="AF27" s="11" t="n">
        <f aca="false">AF16-AF25</f>
        <v>-459025.643964099</v>
      </c>
      <c r="AG27" s="11" t="n">
        <f aca="false">AG16-AG25</f>
        <v>-227689.980229483</v>
      </c>
      <c r="AH27" s="11" t="n">
        <f aca="false">AH16-AH25</f>
        <v>-918090.456608188</v>
      </c>
      <c r="AI27" s="11" t="n">
        <f aca="false">AI16-AI25</f>
        <v>-644760.933633494</v>
      </c>
      <c r="AJ27" s="11" t="n">
        <f aca="false">AJ16-AJ25</f>
        <v>-328584.55497526</v>
      </c>
      <c r="AK27" s="11" t="n">
        <f aca="false">AK16-AK25</f>
        <v>2152.57796328701</v>
      </c>
      <c r="AL27" s="13" t="n">
        <f aca="false">SUM(B27:M27)</f>
        <v>-733540.061401744</v>
      </c>
      <c r="AM27" s="13" t="n">
        <f aca="false">SUM(N27:Y27)</f>
        <v>-1535772.36158885</v>
      </c>
      <c r="AN27" s="13" t="n">
        <f aca="false">SUM(Z27:AC27)</f>
        <v>-1889003.36150666</v>
      </c>
      <c r="AO27" s="13" t="n">
        <f aca="false">SUM(AD27:AG27)</f>
        <v>-2236769.61324748</v>
      </c>
      <c r="AP27" s="13" t="n">
        <f aca="false">SUM(AH27:AK27)</f>
        <v>-1889283.36725365</v>
      </c>
    </row>
    <row r="28" customFormat="false" ht="15" hidden="false" customHeight="false" outlineLevel="0" collapsed="false">
      <c r="A28" s="5" t="s">
        <v>130</v>
      </c>
      <c r="B28" s="15" t="n">
        <f aca="false">IF(B12=0,0,B27/B12)</f>
        <v>-24.812962962963</v>
      </c>
      <c r="C28" s="15" t="n">
        <f aca="false">IF(C12=0,0,C27/C12)</f>
        <v>-24.0713232650126</v>
      </c>
      <c r="D28" s="15" t="n">
        <f aca="false">IF(D12=0,0,D27/D12)</f>
        <v>-11.3506423616566</v>
      </c>
      <c r="E28" s="15" t="n">
        <f aca="false">IF(E12=0,0,E27/E12)</f>
        <v>-11.001109088987</v>
      </c>
      <c r="F28" s="15" t="n">
        <f aca="false">IF(F12=0,0,F27/F12)</f>
        <v>-6.89117093138316</v>
      </c>
      <c r="G28" s="15" t="n">
        <f aca="false">IF(G12=0,0,G27/G12)</f>
        <v>-6.67152517610016</v>
      </c>
      <c r="H28" s="15" t="n">
        <f aca="false">IF(H12=0,0,H27/H12)</f>
        <v>-4.68120765250011</v>
      </c>
      <c r="I28" s="15" t="n">
        <f aca="false">IF(I12=0,0,I27/I12)</f>
        <v>-4.52592975970885</v>
      </c>
      <c r="J28" s="15" t="n">
        <f aca="false">IF(J12=0,0,J27/J12)</f>
        <v>-3.37013961919134</v>
      </c>
      <c r="K28" s="15" t="n">
        <f aca="false">IF(K12=0,0,K27/K12)</f>
        <v>-3.25304817397217</v>
      </c>
      <c r="L28" s="15" t="n">
        <f aca="false">IF(L12=0,0,L27/L12)</f>
        <v>-2.5078059659969</v>
      </c>
      <c r="M28" s="15" t="n">
        <f aca="false">IF(M12=0,0,M27/M12)</f>
        <v>-2.41583103494845</v>
      </c>
      <c r="N28" s="15" t="n">
        <f aca="false">IF(N12=0,0,N27/N12)</f>
        <v>-5.99968876488186</v>
      </c>
      <c r="O28" s="15" t="n">
        <f aca="false">IF(O12=0,0,O27/O12)</f>
        <v>-5.01924650660646</v>
      </c>
      <c r="P28" s="15" t="n">
        <f aca="false">IF(P12=0,0,P27/P12)</f>
        <v>-3.76380215149773</v>
      </c>
      <c r="Q28" s="15" t="n">
        <f aca="false">IF(Q12=0,0,Q27/Q12)</f>
        <v>-3.25902629844588</v>
      </c>
      <c r="R28" s="15" t="n">
        <f aca="false">IF(R12=0,0,R27/R12)</f>
        <v>-2.8405926246264</v>
      </c>
      <c r="S28" s="15" t="n">
        <f aca="false">IF(S12=0,0,S27/S12)</f>
        <v>-2.48852619103315</v>
      </c>
      <c r="T28" s="15" t="n">
        <f aca="false">IF(T12=0,0,T27/T12)</f>
        <v>-2.18856031243422</v>
      </c>
      <c r="U28" s="15" t="n">
        <f aca="false">IF(U12=0,0,U27/U12)</f>
        <v>-1.9302337804279</v>
      </c>
      <c r="V28" s="15" t="n">
        <f aca="false">IF(V12=0,0,V27/V12)</f>
        <v>-1.56418976794368</v>
      </c>
      <c r="W28" s="15" t="n">
        <f aca="false">IF(W12=0,0,W27/W12)</f>
        <v>-1.38624531463645</v>
      </c>
      <c r="X28" s="15" t="n">
        <f aca="false">IF(X12=0,0,X27/X12)</f>
        <v>-1.22823700454203</v>
      </c>
      <c r="Y28" s="15" t="n">
        <f aca="false">IF(Y12=0,0,Y27/Y12)</f>
        <v>-1.08714649201457</v>
      </c>
      <c r="Z28" s="15" t="n">
        <f aca="false">IF(Z12=0,0,Z27/Z12)</f>
        <v>-1.62384429324989</v>
      </c>
      <c r="AA28" s="15" t="n">
        <f aca="false">IF(AA12=0,0,AA27/AA12)</f>
        <v>-1.0489390892452</v>
      </c>
      <c r="AB28" s="15" t="n">
        <f aca="false">IF(AB12=0,0,AB27/AB12)</f>
        <v>-0.638334096612154</v>
      </c>
      <c r="AC28" s="15" t="n">
        <f aca="false">IF(AC12=0,0,AC27/AC12)</f>
        <v>-0.382044644421182</v>
      </c>
      <c r="AD28" s="15" t="n">
        <f aca="false">IF(AD12=0,0,AD27/AD12)</f>
        <v>-0.90485323468215</v>
      </c>
      <c r="AE28" s="15" t="n">
        <f aca="false">IF(AE12=0,0,AE27/AE12)</f>
        <v>-0.56139312937076</v>
      </c>
      <c r="AF28" s="15" t="n">
        <f aca="false">IF(AF12=0,0,AF27/AF12)</f>
        <v>-0.304400564995787</v>
      </c>
      <c r="AG28" s="15" t="n">
        <f aca="false">IF(AG12=0,0,AG27/AG12)</f>
        <v>-0.125351412449332</v>
      </c>
      <c r="AH28" s="15" t="n">
        <f aca="false">IF(AH12=0,0,AH27/AH12)</f>
        <v>-0.452115816299013</v>
      </c>
      <c r="AI28" s="15" t="n">
        <f aca="false">IF(AI12=0,0,AI27/AI12)</f>
        <v>-0.27078556408897</v>
      </c>
      <c r="AJ28" s="15" t="n">
        <f aca="false">IF(AJ12=0,0,AJ27/AJ12)</f>
        <v>-0.117923130374085</v>
      </c>
      <c r="AK28" s="15" t="n">
        <f aca="false">IF(AK12=0,0,AK27/AK12)</f>
        <v>0.000670490618718395</v>
      </c>
      <c r="AL28" s="16" t="n">
        <f aca="false">IF(AL12=0,0,AL27/AL12)</f>
        <v>-5.21322282978471</v>
      </c>
      <c r="AM28" s="16" t="n">
        <f aca="false">IF(AM12=0,0,AM27/AM12)</f>
        <v>-2.21098219884233</v>
      </c>
      <c r="AN28" s="16" t="n">
        <f aca="false">IF(AN12=0,0,AN27/AN12)</f>
        <v>-0.797703872006847</v>
      </c>
      <c r="AO28" s="16" t="n">
        <f aca="false">IF(AO12=0,0,AO27/AO12)</f>
        <v>-0.406859925975875</v>
      </c>
      <c r="AP28" s="16" t="n">
        <f aca="false">IF(AP12=0,0,AP27/AP12)</f>
        <v>-0.181511572963886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42" min="2" style="0" width="14"/>
  </cols>
  <sheetData>
    <row r="1" customFormat="false" ht="17.35" hidden="false" customHeight="false" outlineLevel="0" collapsed="false">
      <c r="A1" s="1" t="s">
        <v>132</v>
      </c>
    </row>
    <row r="3" customFormat="false" ht="15" hidden="false" customHeight="false" outlineLevel="0" collapsed="false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79</v>
      </c>
      <c r="M3" s="4" t="s">
        <v>80</v>
      </c>
      <c r="N3" s="4" t="s">
        <v>81</v>
      </c>
      <c r="O3" s="4" t="s">
        <v>82</v>
      </c>
      <c r="P3" s="4" t="s">
        <v>83</v>
      </c>
      <c r="Q3" s="4" t="s">
        <v>84</v>
      </c>
      <c r="R3" s="4" t="s">
        <v>85</v>
      </c>
      <c r="S3" s="4" t="s">
        <v>86</v>
      </c>
      <c r="T3" s="4" t="s">
        <v>87</v>
      </c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4" t="s">
        <v>96</v>
      </c>
      <c r="AD3" s="4" t="s">
        <v>97</v>
      </c>
      <c r="AE3" s="4" t="s">
        <v>98</v>
      </c>
      <c r="AF3" s="4" t="s">
        <v>99</v>
      </c>
      <c r="AG3" s="4" t="s">
        <v>100</v>
      </c>
      <c r="AH3" s="4" t="s">
        <v>101</v>
      </c>
      <c r="AI3" s="4" t="s">
        <v>102</v>
      </c>
      <c r="AJ3" s="4" t="s">
        <v>103</v>
      </c>
      <c r="AK3" s="4" t="s">
        <v>104</v>
      </c>
      <c r="AL3" s="4" t="s">
        <v>105</v>
      </c>
      <c r="AM3" s="4" t="s">
        <v>106</v>
      </c>
      <c r="AN3" s="4" t="s">
        <v>107</v>
      </c>
      <c r="AO3" s="4" t="s">
        <v>108</v>
      </c>
      <c r="AP3" s="4" t="s">
        <v>109</v>
      </c>
    </row>
    <row r="5" customFormat="false" ht="15" hidden="false" customHeight="false" outlineLevel="0" collapsed="false">
      <c r="A5" s="3" t="s">
        <v>110</v>
      </c>
    </row>
    <row r="6" customFormat="false" ht="15" hidden="false" customHeight="false" outlineLevel="0" collapsed="false">
      <c r="A6" s="5" t="s">
        <v>111</v>
      </c>
      <c r="B6" s="9" t="n">
        <f aca="false">ROUND(Assumptions!D6*1/12,0)</f>
        <v>1</v>
      </c>
      <c r="C6" s="9" t="n">
        <f aca="false">ROUND(Assumptions!D6*2/12,0)</f>
        <v>3</v>
      </c>
      <c r="D6" s="9" t="n">
        <f aca="false">ROUND(Assumptions!D6*3/12,0)</f>
        <v>4</v>
      </c>
      <c r="E6" s="9" t="n">
        <f aca="false">ROUND(Assumptions!D6*4/12,0)</f>
        <v>5</v>
      </c>
      <c r="F6" s="9" t="n">
        <f aca="false">ROUND(Assumptions!D6*5/12,0)</f>
        <v>6</v>
      </c>
      <c r="G6" s="9" t="n">
        <f aca="false">ROUND(Assumptions!D6*6/12,0)</f>
        <v>8</v>
      </c>
      <c r="H6" s="9" t="n">
        <f aca="false">ROUND(Assumptions!D6*7/12,0)</f>
        <v>9</v>
      </c>
      <c r="I6" s="9" t="n">
        <f aca="false">ROUND(Assumptions!D6*8/12,0)</f>
        <v>10</v>
      </c>
      <c r="J6" s="9" t="n">
        <f aca="false">ROUND(Assumptions!D6*9/12,0)</f>
        <v>11</v>
      </c>
      <c r="K6" s="9" t="n">
        <f aca="false">ROUND(Assumptions!D6*10/12,0)</f>
        <v>13</v>
      </c>
      <c r="L6" s="9" t="n">
        <f aca="false">ROUND(Assumptions!D6*11/12,0)</f>
        <v>14</v>
      </c>
      <c r="M6" s="9" t="n">
        <f aca="false">ROUND(Assumptions!D6*12/12,0)</f>
        <v>15</v>
      </c>
      <c r="N6" s="9" t="n">
        <f aca="false">ROUND(Assumptions!D6+(Assumptions!D7-Assumptions!D6)*1/12,0)</f>
        <v>17</v>
      </c>
      <c r="O6" s="9" t="n">
        <f aca="false">ROUND(Assumptions!D6+(Assumptions!D7-Assumptions!D6)*2/12,0)</f>
        <v>19</v>
      </c>
      <c r="P6" s="9" t="n">
        <f aca="false">ROUND(Assumptions!D6+(Assumptions!D7-Assumptions!D6)*3/12,0)</f>
        <v>21</v>
      </c>
      <c r="Q6" s="9" t="n">
        <f aca="false">ROUND(Assumptions!D6+(Assumptions!D7-Assumptions!D6)*4/12,0)</f>
        <v>23</v>
      </c>
      <c r="R6" s="9" t="n">
        <f aca="false">ROUND(Assumptions!D6+(Assumptions!D7-Assumptions!D6)*5/12,0)</f>
        <v>25</v>
      </c>
      <c r="S6" s="9" t="n">
        <f aca="false">ROUND(Assumptions!D6+(Assumptions!D7-Assumptions!D6)*6/12,0)</f>
        <v>28</v>
      </c>
      <c r="T6" s="9" t="n">
        <f aca="false">ROUND(Assumptions!D6+(Assumptions!D7-Assumptions!D6)*7/12,0)</f>
        <v>30</v>
      </c>
      <c r="U6" s="9" t="n">
        <f aca="false">ROUND(Assumptions!D6+(Assumptions!D7-Assumptions!D6)*8/12,0)</f>
        <v>32</v>
      </c>
      <c r="V6" s="9" t="n">
        <f aca="false">ROUND(Assumptions!D6+(Assumptions!D7-Assumptions!D6)*9/12,0)</f>
        <v>34</v>
      </c>
      <c r="W6" s="9" t="n">
        <f aca="false">ROUND(Assumptions!D6+(Assumptions!D7-Assumptions!D6)*10/12,0)</f>
        <v>36</v>
      </c>
      <c r="X6" s="9" t="n">
        <f aca="false">ROUND(Assumptions!D6+(Assumptions!D7-Assumptions!D6)*11/12,0)</f>
        <v>38</v>
      </c>
      <c r="Y6" s="9" t="n">
        <f aca="false">ROUND(Assumptions!D6+(Assumptions!D7-Assumptions!D6)*12/12,0)</f>
        <v>40</v>
      </c>
      <c r="Z6" s="9" t="n">
        <f aca="false">ROUND(Assumptions!D7+(Assumptions!D8-Assumptions!D7)*1/4,0)</f>
        <v>55</v>
      </c>
      <c r="AA6" s="9" t="n">
        <f aca="false">ROUND(Assumptions!D7+(Assumptions!D8-Assumptions!D7)*2/4,0)</f>
        <v>70</v>
      </c>
      <c r="AB6" s="9" t="n">
        <f aca="false">ROUND(Assumptions!D7+(Assumptions!D8-Assumptions!D7)*3/4,0)</f>
        <v>85</v>
      </c>
      <c r="AC6" s="9" t="n">
        <f aca="false">ROUND(Assumptions!D7+(Assumptions!D8-Assumptions!D7)*4/4,0)</f>
        <v>100</v>
      </c>
      <c r="AD6" s="9" t="n">
        <f aca="false">ROUND(Assumptions!D8+(Assumptions!D9-Assumptions!D8)*1/4,0)</f>
        <v>125</v>
      </c>
      <c r="AE6" s="9" t="n">
        <f aca="false">ROUND(Assumptions!D8+(Assumptions!D9-Assumptions!D8)*2/4,0)</f>
        <v>150</v>
      </c>
      <c r="AF6" s="9" t="n">
        <f aca="false">ROUND(Assumptions!D8+(Assumptions!D9-Assumptions!D8)*3/4,0)</f>
        <v>175</v>
      </c>
      <c r="AG6" s="9" t="n">
        <f aca="false">ROUND(Assumptions!D8+(Assumptions!D9-Assumptions!D8)*4/4,0)</f>
        <v>200</v>
      </c>
      <c r="AH6" s="9" t="n">
        <f aca="false">ROUND(Assumptions!D9+(Assumptions!D10-Assumptions!D9)*1/4,0)</f>
        <v>238</v>
      </c>
      <c r="AI6" s="9" t="n">
        <f aca="false">ROUND(Assumptions!D9+(Assumptions!D10-Assumptions!D9)*2/4,0)</f>
        <v>275</v>
      </c>
      <c r="AJ6" s="9" t="n">
        <f aca="false">ROUND(Assumptions!D9+(Assumptions!D10-Assumptions!D9)*3/4,0)</f>
        <v>313</v>
      </c>
      <c r="AK6" s="9" t="n">
        <f aca="false">ROUND(Assumptions!D9+(Assumptions!D10-Assumptions!D9)*4/4,0)</f>
        <v>350</v>
      </c>
      <c r="AL6" s="10" t="n">
        <f aca="false">M6</f>
        <v>15</v>
      </c>
      <c r="AM6" s="10" t="n">
        <f aca="false">Y6</f>
        <v>40</v>
      </c>
      <c r="AN6" s="10" t="n">
        <f aca="false">AC6</f>
        <v>100</v>
      </c>
      <c r="AO6" s="10" t="n">
        <f aca="false">AG6</f>
        <v>200</v>
      </c>
      <c r="AP6" s="10" t="n">
        <f aca="false">AK6</f>
        <v>350</v>
      </c>
    </row>
    <row r="7" customFormat="false" ht="15" hidden="false" customHeight="false" outlineLevel="0" collapsed="false">
      <c r="A7" s="5" t="s">
        <v>112</v>
      </c>
      <c r="B7" s="11" t="n">
        <f aca="false">Assumptions!D11*(1+Assumptions!D12)^0</f>
        <v>400000</v>
      </c>
      <c r="C7" s="11" t="n">
        <f aca="false">Assumptions!D11*(1+Assumptions!D12)^1</f>
        <v>420000</v>
      </c>
      <c r="D7" s="11" t="n">
        <f aca="false">Assumptions!D11*(1+Assumptions!D12)^2</f>
        <v>441000</v>
      </c>
      <c r="E7" s="11" t="n">
        <f aca="false">Assumptions!D11*(1+Assumptions!D12)^3</f>
        <v>463050</v>
      </c>
      <c r="F7" s="11" t="n">
        <f aca="false">Assumptions!D11*(1+Assumptions!D12)^4</f>
        <v>486202.5</v>
      </c>
      <c r="G7" s="11" t="n">
        <f aca="false">Assumptions!D11*(1+Assumptions!D12)^5</f>
        <v>510512.625</v>
      </c>
      <c r="H7" s="11" t="n">
        <f aca="false">Assumptions!D11*(1+Assumptions!D12)^6</f>
        <v>536038.25625</v>
      </c>
      <c r="I7" s="11" t="n">
        <f aca="false">Assumptions!D11*(1+Assumptions!D12)^7</f>
        <v>562840.1690625</v>
      </c>
      <c r="J7" s="11" t="n">
        <f aca="false">Assumptions!D11*(1+Assumptions!D12)^8</f>
        <v>590982.177515625</v>
      </c>
      <c r="K7" s="11" t="n">
        <f aca="false">Assumptions!D11*(1+Assumptions!D12)^9</f>
        <v>620531.286391406</v>
      </c>
      <c r="L7" s="11" t="n">
        <f aca="false">Assumptions!D11*(1+Assumptions!D12)^10</f>
        <v>651557.850710977</v>
      </c>
      <c r="M7" s="11" t="n">
        <f aca="false">Assumptions!D11*(1+Assumptions!D12)^11</f>
        <v>684135.743246526</v>
      </c>
      <c r="N7" s="11" t="n">
        <f aca="false">Assumptions!D11*(1+Assumptions!D12)^12*(1+Assumptions!D13)^0</f>
        <v>718342.530408852</v>
      </c>
      <c r="O7" s="11" t="n">
        <f aca="false">Assumptions!D11*(1+Assumptions!D12)^12*(1+Assumptions!D13)^1</f>
        <v>747076.231625206</v>
      </c>
      <c r="P7" s="11" t="n">
        <f aca="false">Assumptions!D11*(1+Assumptions!D12)^12*(1+Assumptions!D13)^2</f>
        <v>776959.280890215</v>
      </c>
      <c r="Q7" s="11" t="n">
        <f aca="false">Assumptions!D11*(1+Assumptions!D12)^12*(1+Assumptions!D13)^3</f>
        <v>808037.652125823</v>
      </c>
      <c r="R7" s="11" t="n">
        <f aca="false">Assumptions!D11*(1+Assumptions!D12)^12*(1+Assumptions!D13)^4</f>
        <v>840359.158210856</v>
      </c>
      <c r="S7" s="11" t="n">
        <f aca="false">Assumptions!D11*(1+Assumptions!D12)^12*(1+Assumptions!D13)^5</f>
        <v>873973.52453929</v>
      </c>
      <c r="T7" s="11" t="n">
        <f aca="false">Assumptions!D11*(1+Assumptions!D12)^12*(1+Assumptions!D13)^6</f>
        <v>908932.465520862</v>
      </c>
      <c r="U7" s="11" t="n">
        <f aca="false">Assumptions!D11*(1+Assumptions!D12)^12*(1+Assumptions!D13)^7</f>
        <v>945289.764141696</v>
      </c>
      <c r="V7" s="11" t="n">
        <f aca="false">Assumptions!D11*(1+Assumptions!D12)^12*(1+Assumptions!D13)^8</f>
        <v>983101.354707364</v>
      </c>
      <c r="W7" s="11" t="n">
        <f aca="false">Assumptions!D11*(1+Assumptions!D12)^12*(1+Assumptions!D13)^9</f>
        <v>1022425.40889566</v>
      </c>
      <c r="X7" s="11" t="n">
        <f aca="false">Assumptions!D11*(1+Assumptions!D12)^12*(1+Assumptions!D13)^10</f>
        <v>1063322.42525149</v>
      </c>
      <c r="Y7" s="11" t="n">
        <f aca="false">Assumptions!D11*(1+Assumptions!D12)^12*(1+Assumptions!D13)^11</f>
        <v>1105855.32226154</v>
      </c>
      <c r="Z7" s="11" t="n">
        <f aca="false">Assumptions!D11*(1+Assumptions!D12)^12*(1+Assumptions!D13)^12*(1+Assumptions!D14)^0*3</f>
        <v>3450268.60545602</v>
      </c>
      <c r="AA7" s="11" t="n">
        <f aca="false">Assumptions!D11*(1+Assumptions!D12)^12*(1+Assumptions!D13)^12*(1+Assumptions!D14)^1*3</f>
        <v>3726290.0938925</v>
      </c>
      <c r="AB7" s="11" t="n">
        <f aca="false">Assumptions!D11*(1+Assumptions!D12)^12*(1+Assumptions!D13)^12*(1+Assumptions!D14)^2*3</f>
        <v>4024393.3014039</v>
      </c>
      <c r="AC7" s="11" t="n">
        <f aca="false">Assumptions!D11*(1+Assumptions!D12)^12*(1+Assumptions!D13)^12*(1+Assumptions!D14)^3*3</f>
        <v>4346344.76551621</v>
      </c>
      <c r="AD7" s="11" t="n">
        <f aca="false">Assumptions!D11*(1+Assumptions!D12)^12*(1+Assumptions!D13)^12*(1+Assumptions!D14)^(0+4)*3</f>
        <v>4694052.34675751</v>
      </c>
      <c r="AE7" s="11" t="n">
        <f aca="false">Assumptions!D11*(1+Assumptions!D12)^12*(1+Assumptions!D13)^12*(1+Assumptions!D14)^(1+4)*3</f>
        <v>5069576.53449811</v>
      </c>
      <c r="AF7" s="11" t="n">
        <f aca="false">Assumptions!D11*(1+Assumptions!D12)^12*(1+Assumptions!D13)^12*(1+Assumptions!D14)^(2+4)*3</f>
        <v>5475142.65725796</v>
      </c>
      <c r="AG7" s="11" t="n">
        <f aca="false">Assumptions!D11*(1+Assumptions!D12)^12*(1+Assumptions!D13)^12*(1+Assumptions!D14)^(3+4)*3</f>
        <v>5913154.0698386</v>
      </c>
      <c r="AH7" s="11" t="n">
        <f aca="false">Assumptions!D11*(1+Assumptions!D12)^12*(1+Assumptions!D13)^12*(1+Assumptions!D14)^(0+8)*3</f>
        <v>6386206.39542569</v>
      </c>
      <c r="AI7" s="11" t="n">
        <f aca="false">Assumptions!D11*(1+Assumptions!D12)^12*(1+Assumptions!D13)^12*(1+Assumptions!D14)^(1+8)*3</f>
        <v>6897102.90705974</v>
      </c>
      <c r="AJ7" s="11" t="n">
        <f aca="false">Assumptions!D11*(1+Assumptions!D12)^12*(1+Assumptions!D13)^12*(1+Assumptions!D14)^(2+8)*3</f>
        <v>7448871.13962453</v>
      </c>
      <c r="AK7" s="11" t="n">
        <f aca="false">Assumptions!D11*(1+Assumptions!D12)^12*(1+Assumptions!D13)^12*(1+Assumptions!D14)^(3+8)*3</f>
        <v>8044780.83079449</v>
      </c>
      <c r="AL7" s="12" t="n">
        <f aca="false">AVERAGE(B7:M7)</f>
        <v>530570.884014753</v>
      </c>
      <c r="AM7" s="12" t="n">
        <f aca="false">AVERAGE(N7:Y7)</f>
        <v>899472.926548238</v>
      </c>
      <c r="AN7" s="12" t="n">
        <f aca="false">AVERAGE(Z7:AC7)</f>
        <v>3886824.19156716</v>
      </c>
      <c r="AO7" s="12" t="n">
        <f aca="false">AVERAGE(AD7:AG7)</f>
        <v>5287981.40208805</v>
      </c>
      <c r="AP7" s="12" t="n">
        <f aca="false">AVERAGE(AH7:AK7)</f>
        <v>7194240.31822611</v>
      </c>
    </row>
    <row r="8" customFormat="false" ht="15" hidden="false" customHeight="false" outlineLevel="0" collapsed="false">
      <c r="A8" s="5" t="s">
        <v>113</v>
      </c>
      <c r="B8" s="11" t="n">
        <f aca="false">B6*B7</f>
        <v>400000</v>
      </c>
      <c r="C8" s="11" t="n">
        <f aca="false">C6*C7</f>
        <v>1260000</v>
      </c>
      <c r="D8" s="11" t="n">
        <f aca="false">D6*D7</f>
        <v>1764000</v>
      </c>
      <c r="E8" s="11" t="n">
        <f aca="false">E6*E7</f>
        <v>2315250</v>
      </c>
      <c r="F8" s="11" t="n">
        <f aca="false">F6*F7</f>
        <v>2917215</v>
      </c>
      <c r="G8" s="11" t="n">
        <f aca="false">G6*G7</f>
        <v>4084101</v>
      </c>
      <c r="H8" s="11" t="n">
        <f aca="false">H6*H7</f>
        <v>4824344.30625</v>
      </c>
      <c r="I8" s="11" t="n">
        <f aca="false">I6*I7</f>
        <v>5628401.690625</v>
      </c>
      <c r="J8" s="11" t="n">
        <f aca="false">J6*J7</f>
        <v>6500803.95267188</v>
      </c>
      <c r="K8" s="11" t="n">
        <f aca="false">K6*K7</f>
        <v>8066906.72308828</v>
      </c>
      <c r="L8" s="11" t="n">
        <f aca="false">L6*L7</f>
        <v>9121809.90995367</v>
      </c>
      <c r="M8" s="11" t="n">
        <f aca="false">M6*M7</f>
        <v>10262036.1486979</v>
      </c>
      <c r="N8" s="11" t="n">
        <f aca="false">N6*N7</f>
        <v>12211823.0169505</v>
      </c>
      <c r="O8" s="11" t="n">
        <f aca="false">O6*O7</f>
        <v>14194448.4008789</v>
      </c>
      <c r="P8" s="11" t="n">
        <f aca="false">P6*P7</f>
        <v>16316144.8986945</v>
      </c>
      <c r="Q8" s="11" t="n">
        <f aca="false">Q6*Q7</f>
        <v>18584865.9988939</v>
      </c>
      <c r="R8" s="11" t="n">
        <f aca="false">R6*R7</f>
        <v>21008978.9552714</v>
      </c>
      <c r="S8" s="11" t="n">
        <f aca="false">S6*S7</f>
        <v>24471258.6871001</v>
      </c>
      <c r="T8" s="11" t="n">
        <f aca="false">T6*T7</f>
        <v>27267973.9656259</v>
      </c>
      <c r="U8" s="11" t="n">
        <f aca="false">U6*U7</f>
        <v>30249272.4525343</v>
      </c>
      <c r="V8" s="11" t="n">
        <f aca="false">V6*V7</f>
        <v>33425446.0600504</v>
      </c>
      <c r="W8" s="11" t="n">
        <f aca="false">W6*W7</f>
        <v>36807314.7202437</v>
      </c>
      <c r="X8" s="11" t="n">
        <f aca="false">X6*X7</f>
        <v>40406252.1595564</v>
      </c>
      <c r="Y8" s="11" t="n">
        <f aca="false">Y6*Y7</f>
        <v>44234212.8904618</v>
      </c>
      <c r="Z8" s="11" t="n">
        <f aca="false">Z6*Z7</f>
        <v>189764773.300081</v>
      </c>
      <c r="AA8" s="11" t="n">
        <f aca="false">AA6*AA7</f>
        <v>260840306.572475</v>
      </c>
      <c r="AB8" s="11" t="n">
        <f aca="false">AB6*AB7</f>
        <v>342073430.619332</v>
      </c>
      <c r="AC8" s="11" t="n">
        <f aca="false">AC6*AC7</f>
        <v>434634476.551621</v>
      </c>
      <c r="AD8" s="11" t="n">
        <f aca="false">AD6*AD7</f>
        <v>586756543.344689</v>
      </c>
      <c r="AE8" s="11" t="n">
        <f aca="false">AE6*AE7</f>
        <v>760436480.174717</v>
      </c>
      <c r="AF8" s="11" t="n">
        <f aca="false">AF6*AF7</f>
        <v>958149965.020144</v>
      </c>
      <c r="AG8" s="11" t="n">
        <f aca="false">AG6*AG7</f>
        <v>1182630813.96772</v>
      </c>
      <c r="AH8" s="11" t="n">
        <f aca="false">AH6*AH7</f>
        <v>1519917122.11131</v>
      </c>
      <c r="AI8" s="11" t="n">
        <f aca="false">AI6*AI7</f>
        <v>1896703299.44143</v>
      </c>
      <c r="AJ8" s="11" t="n">
        <f aca="false">AJ6*AJ7</f>
        <v>2331496666.70248</v>
      </c>
      <c r="AK8" s="11" t="n">
        <f aca="false">AK6*AK7</f>
        <v>2815673290.77807</v>
      </c>
      <c r="AL8" s="13" t="n">
        <f aca="false">SUM(B8:M8)</f>
        <v>57144868.7312867</v>
      </c>
      <c r="AM8" s="13" t="n">
        <f aca="false">SUM(N8:Y8)</f>
        <v>319177992.206262</v>
      </c>
      <c r="AN8" s="13" t="n">
        <f aca="false">SUM(Z8:AC8)</f>
        <v>1227312987.04351</v>
      </c>
      <c r="AO8" s="13" t="n">
        <f aca="false">SUM(AD8:AG8)</f>
        <v>3487973802.50727</v>
      </c>
      <c r="AP8" s="13" t="n">
        <f aca="false">SUM(AH8:AK8)</f>
        <v>8563790379.03329</v>
      </c>
    </row>
    <row r="9" customFormat="false" ht="15" hidden="false" customHeight="false" outlineLevel="0" collapsed="false">
      <c r="A9" s="5" t="s">
        <v>114</v>
      </c>
      <c r="B9" s="11" t="n">
        <f aca="false">B8*Assumptions!D16</f>
        <v>4400</v>
      </c>
      <c r="C9" s="11" t="n">
        <f aca="false">C8*Assumptions!D16</f>
        <v>13860</v>
      </c>
      <c r="D9" s="11" t="n">
        <f aca="false">D8*Assumptions!D16</f>
        <v>19404</v>
      </c>
      <c r="E9" s="11" t="n">
        <f aca="false">E8*Assumptions!D16</f>
        <v>25467.75</v>
      </c>
      <c r="F9" s="11" t="n">
        <f aca="false">F8*Assumptions!D16</f>
        <v>32089.365</v>
      </c>
      <c r="G9" s="11" t="n">
        <f aca="false">G8*Assumptions!D16</f>
        <v>44925.111</v>
      </c>
      <c r="H9" s="11" t="n">
        <f aca="false">H8*Assumptions!D16</f>
        <v>53067.78736875</v>
      </c>
      <c r="I9" s="11" t="n">
        <f aca="false">I8*Assumptions!D16</f>
        <v>61912.418596875</v>
      </c>
      <c r="J9" s="11" t="n">
        <f aca="false">J8*Assumptions!D16</f>
        <v>71508.8434793907</v>
      </c>
      <c r="K9" s="11" t="n">
        <f aca="false">K8*Assumptions!D16</f>
        <v>88735.9739539711</v>
      </c>
      <c r="L9" s="11" t="n">
        <f aca="false">L8*Assumptions!D16</f>
        <v>100339.90900949</v>
      </c>
      <c r="M9" s="11" t="n">
        <f aca="false">M8*Assumptions!D16</f>
        <v>112882.397635677</v>
      </c>
      <c r="N9" s="11" t="n">
        <f aca="false">N8*Assumptions!D17</f>
        <v>122118.230169505</v>
      </c>
      <c r="O9" s="11" t="n">
        <f aca="false">O8*Assumptions!D17</f>
        <v>141944.484008789</v>
      </c>
      <c r="P9" s="11" t="n">
        <f aca="false">P8*Assumptions!D17</f>
        <v>163161.448986945</v>
      </c>
      <c r="Q9" s="11" t="n">
        <f aca="false">Q8*Assumptions!D17</f>
        <v>185848.659988939</v>
      </c>
      <c r="R9" s="11" t="n">
        <f aca="false">R8*Assumptions!D17</f>
        <v>210089.789552714</v>
      </c>
      <c r="S9" s="11" t="n">
        <f aca="false">S8*Assumptions!D17</f>
        <v>244712.586871001</v>
      </c>
      <c r="T9" s="11" t="n">
        <f aca="false">T8*Assumptions!D17</f>
        <v>272679.739656259</v>
      </c>
      <c r="U9" s="11" t="n">
        <f aca="false">U8*Assumptions!D17</f>
        <v>302492.724525343</v>
      </c>
      <c r="V9" s="11" t="n">
        <f aca="false">V8*Assumptions!D17</f>
        <v>334254.460600504</v>
      </c>
      <c r="W9" s="11" t="n">
        <f aca="false">W8*Assumptions!D17</f>
        <v>368073.147202437</v>
      </c>
      <c r="X9" s="11" t="n">
        <f aca="false">X8*Assumptions!D17</f>
        <v>404062.521595564</v>
      </c>
      <c r="Y9" s="11" t="n">
        <f aca="false">Y8*Assumptions!D17</f>
        <v>442342.128904618</v>
      </c>
      <c r="Z9" s="11" t="n">
        <f aca="false">Z8*Assumptions!D18</f>
        <v>1802765.34635077</v>
      </c>
      <c r="AA9" s="11" t="n">
        <f aca="false">AA8*Assumptions!D18</f>
        <v>2477982.91243851</v>
      </c>
      <c r="AB9" s="11" t="n">
        <f aca="false">AB8*Assumptions!D18</f>
        <v>3249697.59088365</v>
      </c>
      <c r="AC9" s="11" t="n">
        <f aca="false">AC8*Assumptions!D18</f>
        <v>4129027.5272404</v>
      </c>
      <c r="AD9" s="11" t="n">
        <f aca="false">AD8*Assumptions!D19</f>
        <v>4987430.61842986</v>
      </c>
      <c r="AE9" s="11" t="n">
        <f aca="false">AE8*Assumptions!D19</f>
        <v>6463710.0814851</v>
      </c>
      <c r="AF9" s="11" t="n">
        <f aca="false">AF8*Assumptions!D19</f>
        <v>8144274.70267122</v>
      </c>
      <c r="AG9" s="11" t="n">
        <f aca="false">AG8*Assumptions!D19</f>
        <v>10052361.9187256</v>
      </c>
      <c r="AH9" s="11" t="n">
        <f aca="false">AH8*Assumptions!D20</f>
        <v>12159336.9768905</v>
      </c>
      <c r="AI9" s="11" t="n">
        <f aca="false">AI8*Assumptions!D20</f>
        <v>15173626.3955314</v>
      </c>
      <c r="AJ9" s="11" t="n">
        <f aca="false">AJ8*Assumptions!D20</f>
        <v>18651973.3336198</v>
      </c>
      <c r="AK9" s="11" t="n">
        <f aca="false">AK8*Assumptions!D20</f>
        <v>22525386.3262246</v>
      </c>
      <c r="AL9" s="13" t="n">
        <f aca="false">SUM(B9:M9)</f>
        <v>628593.556044154</v>
      </c>
      <c r="AM9" s="13" t="n">
        <f aca="false">SUM(N9:Y9)</f>
        <v>3191779.92206262</v>
      </c>
      <c r="AN9" s="13" t="n">
        <f aca="false">SUM(Z9:AC9)</f>
        <v>11659473.3769133</v>
      </c>
      <c r="AO9" s="13" t="n">
        <f aca="false">SUM(AD9:AG9)</f>
        <v>29647777.3213118</v>
      </c>
      <c r="AP9" s="13" t="n">
        <f aca="false">SUM(AH9:AK9)</f>
        <v>68510323.0322663</v>
      </c>
    </row>
    <row r="10" customFormat="false" ht="15" hidden="false" customHeight="false" outlineLevel="0" collapsed="false">
      <c r="A10" s="5" t="s">
        <v>115</v>
      </c>
      <c r="B10" s="11" t="n">
        <f aca="false">B9*Assumptions!D21</f>
        <v>1760</v>
      </c>
      <c r="C10" s="11" t="n">
        <f aca="false">C9*Assumptions!D21</f>
        <v>5544</v>
      </c>
      <c r="D10" s="11" t="n">
        <f aca="false">D9*Assumptions!D21</f>
        <v>7761.6</v>
      </c>
      <c r="E10" s="11" t="n">
        <f aca="false">E9*Assumptions!D21</f>
        <v>10187.1</v>
      </c>
      <c r="F10" s="11" t="n">
        <f aca="false">F9*Assumptions!D21</f>
        <v>12835.746</v>
      </c>
      <c r="G10" s="11" t="n">
        <f aca="false">G9*Assumptions!D21</f>
        <v>17970.0444</v>
      </c>
      <c r="H10" s="11" t="n">
        <f aca="false">H9*Assumptions!D21</f>
        <v>21227.1149475</v>
      </c>
      <c r="I10" s="11" t="n">
        <f aca="false">I9*Assumptions!D21</f>
        <v>24764.96743875</v>
      </c>
      <c r="J10" s="11" t="n">
        <f aca="false">J9*Assumptions!D21</f>
        <v>28603.5373917563</v>
      </c>
      <c r="K10" s="11" t="n">
        <f aca="false">K9*Assumptions!D21</f>
        <v>35494.3895815884</v>
      </c>
      <c r="L10" s="11" t="n">
        <f aca="false">L9*Assumptions!D21</f>
        <v>40135.9636037962</v>
      </c>
      <c r="M10" s="11" t="n">
        <f aca="false">M9*Assumptions!D21</f>
        <v>45152.9590542707</v>
      </c>
      <c r="N10" s="11" t="n">
        <f aca="false">N9*Assumptions!D21</f>
        <v>48847.2920678019</v>
      </c>
      <c r="O10" s="11" t="n">
        <f aca="false">O9*Assumptions!D21</f>
        <v>56777.7936035157</v>
      </c>
      <c r="P10" s="11" t="n">
        <f aca="false">P9*Assumptions!D21</f>
        <v>65264.579594778</v>
      </c>
      <c r="Q10" s="11" t="n">
        <f aca="false">Q9*Assumptions!D21</f>
        <v>74339.4639955757</v>
      </c>
      <c r="R10" s="11" t="n">
        <f aca="false">R9*Assumptions!D21</f>
        <v>84035.9158210856</v>
      </c>
      <c r="S10" s="11" t="n">
        <f aca="false">S9*Assumptions!D21</f>
        <v>97885.0347484005</v>
      </c>
      <c r="T10" s="11" t="n">
        <f aca="false">T9*Assumptions!D21</f>
        <v>109071.895862503</v>
      </c>
      <c r="U10" s="11" t="n">
        <f aca="false">U9*Assumptions!D21</f>
        <v>120997.089810137</v>
      </c>
      <c r="V10" s="11" t="n">
        <f aca="false">V9*Assumptions!D21</f>
        <v>133701.784240202</v>
      </c>
      <c r="W10" s="11" t="n">
        <f aca="false">W9*Assumptions!D21</f>
        <v>147229.258880975</v>
      </c>
      <c r="X10" s="11" t="n">
        <f aca="false">X9*Assumptions!D21</f>
        <v>161625.008638226</v>
      </c>
      <c r="Y10" s="11" t="n">
        <f aca="false">Y9*Assumptions!D21</f>
        <v>176936.851561847</v>
      </c>
      <c r="Z10" s="11" t="n">
        <f aca="false">Z9*Assumptions!D21</f>
        <v>721106.138540308</v>
      </c>
      <c r="AA10" s="11" t="n">
        <f aca="false">AA9*Assumptions!D21</f>
        <v>991193.164975405</v>
      </c>
      <c r="AB10" s="11" t="n">
        <f aca="false">AB9*Assumptions!D21</f>
        <v>1299879.03635346</v>
      </c>
      <c r="AC10" s="11" t="n">
        <f aca="false">AC9*Assumptions!D21</f>
        <v>1651611.01089616</v>
      </c>
      <c r="AD10" s="11" t="n">
        <f aca="false">AD9*Assumptions!D21</f>
        <v>1994972.24737194</v>
      </c>
      <c r="AE10" s="11" t="n">
        <f aca="false">AE9*Assumptions!D21</f>
        <v>2585484.03259404</v>
      </c>
      <c r="AF10" s="11" t="n">
        <f aca="false">AF9*Assumptions!D21</f>
        <v>3257709.88106849</v>
      </c>
      <c r="AG10" s="11" t="n">
        <f aca="false">AG9*Assumptions!D21</f>
        <v>4020944.76749025</v>
      </c>
      <c r="AH10" s="11" t="n">
        <f aca="false">AH9*Assumptions!D21</f>
        <v>4863734.7907562</v>
      </c>
      <c r="AI10" s="11" t="n">
        <f aca="false">AI9*Assumptions!D21</f>
        <v>6069450.55821258</v>
      </c>
      <c r="AJ10" s="11" t="n">
        <f aca="false">AJ9*Assumptions!D21</f>
        <v>7460789.33344793</v>
      </c>
      <c r="AK10" s="11" t="n">
        <f aca="false">AK9*Assumptions!D21</f>
        <v>9010154.53048983</v>
      </c>
      <c r="AL10" s="13" t="n">
        <f aca="false">SUM(B10:M10)</f>
        <v>251437.422417662</v>
      </c>
      <c r="AM10" s="13" t="n">
        <f aca="false">SUM(N10:Y10)</f>
        <v>1276711.96882505</v>
      </c>
      <c r="AN10" s="13" t="n">
        <f aca="false">SUM(Z10:AC10)</f>
        <v>4663789.35076534</v>
      </c>
      <c r="AO10" s="13" t="n">
        <f aca="false">SUM(AD10:AG10)</f>
        <v>11859110.9285247</v>
      </c>
      <c r="AP10" s="13" t="n">
        <f aca="false">SUM(AH10:AK10)</f>
        <v>27404129.2129065</v>
      </c>
    </row>
    <row r="11" customFormat="false" ht="15" hidden="false" customHeight="false" outlineLevel="0" collapsed="false">
      <c r="A11" s="5" t="s">
        <v>116</v>
      </c>
      <c r="B11" s="11" t="n">
        <v>0</v>
      </c>
      <c r="C11" s="11" t="n">
        <v>0</v>
      </c>
      <c r="D11" s="11" t="n">
        <v>0</v>
      </c>
      <c r="E11" s="11" t="n">
        <v>0</v>
      </c>
      <c r="F11" s="11" t="n"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f aca="false">N9*Assumptions!D22</f>
        <v>9769.45841356039</v>
      </c>
      <c r="O11" s="11" t="n">
        <f aca="false">O9*Assumptions!D22</f>
        <v>11355.5587207031</v>
      </c>
      <c r="P11" s="11" t="n">
        <f aca="false">P9*Assumptions!D22</f>
        <v>13052.9159189556</v>
      </c>
      <c r="Q11" s="11" t="n">
        <f aca="false">Q9*Assumptions!D22</f>
        <v>14867.8927991151</v>
      </c>
      <c r="R11" s="11" t="n">
        <f aca="false">R9*Assumptions!D22</f>
        <v>16807.1831642171</v>
      </c>
      <c r="S11" s="11" t="n">
        <f aca="false">S9*Assumptions!D22</f>
        <v>19577.0069496801</v>
      </c>
      <c r="T11" s="11" t="n">
        <f aca="false">T9*Assumptions!D22</f>
        <v>21814.3791725007</v>
      </c>
      <c r="U11" s="11" t="n">
        <f aca="false">U9*Assumptions!D22</f>
        <v>24199.4179620274</v>
      </c>
      <c r="V11" s="11" t="n">
        <f aca="false">V9*Assumptions!D22</f>
        <v>26740.3568480403</v>
      </c>
      <c r="W11" s="11" t="n">
        <f aca="false">W9*Assumptions!D22</f>
        <v>29445.851776195</v>
      </c>
      <c r="X11" s="11" t="n">
        <f aca="false">X9*Assumptions!D22</f>
        <v>32325.0017276452</v>
      </c>
      <c r="Y11" s="11" t="n">
        <f aca="false">Y9*Assumptions!D22</f>
        <v>35387.3703123694</v>
      </c>
      <c r="Z11" s="11" t="n">
        <f aca="false">Z9*Assumptions!D22</f>
        <v>144221.227708062</v>
      </c>
      <c r="AA11" s="11" t="n">
        <f aca="false">AA9*Assumptions!D22</f>
        <v>198238.632995081</v>
      </c>
      <c r="AB11" s="11" t="n">
        <f aca="false">AB9*Assumptions!D22</f>
        <v>259975.807270692</v>
      </c>
      <c r="AC11" s="11" t="n">
        <f aca="false">AC9*Assumptions!D22</f>
        <v>330322.202179232</v>
      </c>
      <c r="AD11" s="11" t="n">
        <f aca="false">AD9*Assumptions!D22</f>
        <v>398994.449474389</v>
      </c>
      <c r="AE11" s="11" t="n">
        <f aca="false">AE9*Assumptions!D22</f>
        <v>517096.806518808</v>
      </c>
      <c r="AF11" s="11" t="n">
        <f aca="false">AF9*Assumptions!D22</f>
        <v>651541.976213698</v>
      </c>
      <c r="AG11" s="11" t="n">
        <f aca="false">AG9*Assumptions!D22</f>
        <v>804188.95349805</v>
      </c>
      <c r="AH11" s="11" t="n">
        <f aca="false">AH9*Assumptions!D22</f>
        <v>972746.958151241</v>
      </c>
      <c r="AI11" s="11" t="n">
        <f aca="false">AI9*Assumptions!D22</f>
        <v>1213890.11164252</v>
      </c>
      <c r="AJ11" s="11" t="n">
        <f aca="false">AJ9*Assumptions!D22</f>
        <v>1492157.86668959</v>
      </c>
      <c r="AK11" s="11" t="n">
        <f aca="false">AK9*Assumptions!D22</f>
        <v>1802030.90609797</v>
      </c>
      <c r="AL11" s="13" t="n">
        <f aca="false">SUM(B11:M11)</f>
        <v>0</v>
      </c>
      <c r="AM11" s="13" t="n">
        <f aca="false">SUM(N11:Y11)</f>
        <v>255342.393765009</v>
      </c>
      <c r="AN11" s="13" t="n">
        <f aca="false">SUM(Z11:AC11)</f>
        <v>932757.870153067</v>
      </c>
      <c r="AO11" s="13" t="n">
        <f aca="false">SUM(AD11:AG11)</f>
        <v>2371822.18570494</v>
      </c>
      <c r="AP11" s="13" t="n">
        <f aca="false">SUM(AH11:AK11)</f>
        <v>5480825.84258131</v>
      </c>
    </row>
    <row r="12" customFormat="false" ht="15" hidden="false" customHeight="false" outlineLevel="0" collapsed="false">
      <c r="A12" s="14" t="s">
        <v>117</v>
      </c>
      <c r="B12" s="11" t="n">
        <f aca="false">B9+B10+B11</f>
        <v>6160</v>
      </c>
      <c r="C12" s="11" t="n">
        <f aca="false">C9+C10+C11</f>
        <v>19404</v>
      </c>
      <c r="D12" s="11" t="n">
        <f aca="false">D9+D10+D11</f>
        <v>27165.6</v>
      </c>
      <c r="E12" s="11" t="n">
        <f aca="false">E9+E10+E11</f>
        <v>35654.85</v>
      </c>
      <c r="F12" s="11" t="n">
        <f aca="false">F9+F10+F11</f>
        <v>44925.111</v>
      </c>
      <c r="G12" s="11" t="n">
        <f aca="false">G9+G10+G11</f>
        <v>62895.1554</v>
      </c>
      <c r="H12" s="11" t="n">
        <f aca="false">H9+H10+H11</f>
        <v>74294.90231625</v>
      </c>
      <c r="I12" s="11" t="n">
        <f aca="false">I9+I10+I11</f>
        <v>86677.386035625</v>
      </c>
      <c r="J12" s="11" t="n">
        <f aca="false">J9+J10+J11</f>
        <v>100112.380871147</v>
      </c>
      <c r="K12" s="11" t="n">
        <f aca="false">K9+K10+K11</f>
        <v>124230.36353556</v>
      </c>
      <c r="L12" s="11" t="n">
        <f aca="false">L9+L10+L11</f>
        <v>140475.872613287</v>
      </c>
      <c r="M12" s="11" t="n">
        <f aca="false">M9+M10+M11</f>
        <v>158035.356689947</v>
      </c>
      <c r="N12" s="11" t="n">
        <f aca="false">N9+N10+N11</f>
        <v>180734.980650867</v>
      </c>
      <c r="O12" s="11" t="n">
        <f aca="false">O9+O10+O11</f>
        <v>210077.836333008</v>
      </c>
      <c r="P12" s="11" t="n">
        <f aca="false">P9+P10+P11</f>
        <v>241478.944500679</v>
      </c>
      <c r="Q12" s="11" t="n">
        <f aca="false">Q9+Q10+Q11</f>
        <v>275056.01678363</v>
      </c>
      <c r="R12" s="11" t="n">
        <f aca="false">R9+R10+R11</f>
        <v>310932.888538017</v>
      </c>
      <c r="S12" s="11" t="n">
        <f aca="false">S9+S10+S11</f>
        <v>362174.628569082</v>
      </c>
      <c r="T12" s="11" t="n">
        <f aca="false">T9+T10+T11</f>
        <v>403566.014691263</v>
      </c>
      <c r="U12" s="11" t="n">
        <f aca="false">U9+U10+U11</f>
        <v>447689.232297507</v>
      </c>
      <c r="V12" s="11" t="n">
        <f aca="false">V9+V10+V11</f>
        <v>494696.601688746</v>
      </c>
      <c r="W12" s="11" t="n">
        <f aca="false">W9+W10+W11</f>
        <v>544748.257859607</v>
      </c>
      <c r="X12" s="11" t="n">
        <f aca="false">X9+X10+X11</f>
        <v>598012.531961435</v>
      </c>
      <c r="Y12" s="11" t="n">
        <f aca="false">Y9+Y10+Y11</f>
        <v>654666.350778834</v>
      </c>
      <c r="Z12" s="11" t="n">
        <f aca="false">Z9+Z10+Z11</f>
        <v>2668092.71259914</v>
      </c>
      <c r="AA12" s="11" t="n">
        <f aca="false">AA9+AA10+AA11</f>
        <v>3667414.710409</v>
      </c>
      <c r="AB12" s="11" t="n">
        <f aca="false">AB9+AB10+AB11</f>
        <v>4809552.4345078</v>
      </c>
      <c r="AC12" s="11" t="n">
        <f aca="false">AC9+AC10+AC11</f>
        <v>6110960.7403158</v>
      </c>
      <c r="AD12" s="11" t="n">
        <f aca="false">AD9+AD10+AD11</f>
        <v>7381397.31527619</v>
      </c>
      <c r="AE12" s="11" t="n">
        <f aca="false">AE9+AE10+AE11</f>
        <v>9566290.92059794</v>
      </c>
      <c r="AF12" s="11" t="n">
        <f aca="false">AF9+AF10+AF11</f>
        <v>12053526.5599534</v>
      </c>
      <c r="AG12" s="11" t="n">
        <f aca="false">AG9+AG10+AG11</f>
        <v>14877495.6397139</v>
      </c>
      <c r="AH12" s="11" t="n">
        <f aca="false">AH9+AH10+AH11</f>
        <v>17995818.725798</v>
      </c>
      <c r="AI12" s="11" t="n">
        <f aca="false">AI9+AI10+AI11</f>
        <v>22456967.0653865</v>
      </c>
      <c r="AJ12" s="11" t="n">
        <f aca="false">AJ9+AJ10+AJ11</f>
        <v>27604920.5337573</v>
      </c>
      <c r="AK12" s="11" t="n">
        <f aca="false">AK9+AK10+AK11</f>
        <v>33337571.7628124</v>
      </c>
      <c r="AL12" s="13" t="n">
        <f aca="false">SUM(B12:M12)</f>
        <v>880030.978461816</v>
      </c>
      <c r="AM12" s="13" t="n">
        <f aca="false">SUM(N12:Y12)</f>
        <v>4723834.28465268</v>
      </c>
      <c r="AN12" s="13" t="n">
        <f aca="false">SUM(Z12:AC12)</f>
        <v>17256020.5978317</v>
      </c>
      <c r="AO12" s="13" t="n">
        <f aca="false">SUM(AD12:AG12)</f>
        <v>43878710.4355415</v>
      </c>
      <c r="AP12" s="13" t="n">
        <f aca="false">SUM(AH12:AK12)</f>
        <v>101395278.087754</v>
      </c>
    </row>
    <row r="14" customFormat="false" ht="15" hidden="false" customHeight="false" outlineLevel="0" collapsed="false">
      <c r="A14" s="3" t="s">
        <v>118</v>
      </c>
    </row>
    <row r="15" customFormat="false" ht="15" hidden="false" customHeight="false" outlineLevel="0" collapsed="false">
      <c r="A15" s="5" t="s">
        <v>119</v>
      </c>
      <c r="B15" s="11" t="n">
        <f aca="false">B12*Assumptions!D25</f>
        <v>1848</v>
      </c>
      <c r="C15" s="11" t="n">
        <f aca="false">C12*Assumptions!D25</f>
        <v>5821.2</v>
      </c>
      <c r="D15" s="11" t="n">
        <f aca="false">D12*Assumptions!D25</f>
        <v>8149.68</v>
      </c>
      <c r="E15" s="11" t="n">
        <f aca="false">E12*Assumptions!D25</f>
        <v>10696.455</v>
      </c>
      <c r="F15" s="11" t="n">
        <f aca="false">F12*Assumptions!D25</f>
        <v>13477.5333</v>
      </c>
      <c r="G15" s="11" t="n">
        <f aca="false">G12*Assumptions!D25</f>
        <v>18868.54662</v>
      </c>
      <c r="H15" s="11" t="n">
        <f aca="false">H12*Assumptions!D25</f>
        <v>22288.470694875</v>
      </c>
      <c r="I15" s="11" t="n">
        <f aca="false">I12*Assumptions!D25</f>
        <v>26003.2158106875</v>
      </c>
      <c r="J15" s="11" t="n">
        <f aca="false">J12*Assumptions!D25</f>
        <v>30033.7142613441</v>
      </c>
      <c r="K15" s="11" t="n">
        <f aca="false">K12*Assumptions!D25</f>
        <v>37269.1090606679</v>
      </c>
      <c r="L15" s="11" t="n">
        <f aca="false">L12*Assumptions!D25</f>
        <v>42142.761783986</v>
      </c>
      <c r="M15" s="11" t="n">
        <f aca="false">M12*Assumptions!D25</f>
        <v>47410.6070069842</v>
      </c>
      <c r="N15" s="11" t="n">
        <f aca="false">N12*Assumptions!D26</f>
        <v>45183.7451627168</v>
      </c>
      <c r="O15" s="11" t="n">
        <f aca="false">O12*Assumptions!D26</f>
        <v>52519.459083252</v>
      </c>
      <c r="P15" s="11" t="n">
        <f aca="false">P12*Assumptions!D26</f>
        <v>60369.7361251697</v>
      </c>
      <c r="Q15" s="11" t="n">
        <f aca="false">Q12*Assumptions!D26</f>
        <v>68764.0041959075</v>
      </c>
      <c r="R15" s="11" t="n">
        <f aca="false">R12*Assumptions!D26</f>
        <v>77733.2221345042</v>
      </c>
      <c r="S15" s="11" t="n">
        <f aca="false">S12*Assumptions!D26</f>
        <v>90543.6571422705</v>
      </c>
      <c r="T15" s="11" t="n">
        <f aca="false">T12*Assumptions!D26</f>
        <v>100891.503672816</v>
      </c>
      <c r="U15" s="11" t="n">
        <f aca="false">U12*Assumptions!D26</f>
        <v>111922.308074377</v>
      </c>
      <c r="V15" s="11" t="n">
        <f aca="false">V12*Assumptions!D26</f>
        <v>123674.150422186</v>
      </c>
      <c r="W15" s="11" t="n">
        <f aca="false">W12*Assumptions!D26</f>
        <v>136187.064464902</v>
      </c>
      <c r="X15" s="11" t="n">
        <f aca="false">X12*Assumptions!D26</f>
        <v>149503.132990359</v>
      </c>
      <c r="Y15" s="11" t="n">
        <f aca="false">Y12*Assumptions!D26</f>
        <v>163666.587694709</v>
      </c>
      <c r="Z15" s="11" t="n">
        <f aca="false">Z12*Assumptions!D27</f>
        <v>613661.323897802</v>
      </c>
      <c r="AA15" s="11" t="n">
        <f aca="false">AA12*Assumptions!D27</f>
        <v>843505.38339407</v>
      </c>
      <c r="AB15" s="11" t="n">
        <f aca="false">AB12*Assumptions!D27</f>
        <v>1106197.05993679</v>
      </c>
      <c r="AC15" s="11" t="n">
        <f aca="false">AC12*Assumptions!D27</f>
        <v>1405520.97027263</v>
      </c>
      <c r="AD15" s="11" t="n">
        <f aca="false">AD12*Assumptions!D28</f>
        <v>1476279.46305524</v>
      </c>
      <c r="AE15" s="11" t="n">
        <f aca="false">AE12*Assumptions!D28</f>
        <v>1913258.18411959</v>
      </c>
      <c r="AF15" s="11" t="n">
        <f aca="false">AF12*Assumptions!D28</f>
        <v>2410705.31199068</v>
      </c>
      <c r="AG15" s="11" t="n">
        <f aca="false">AG12*Assumptions!D28</f>
        <v>2975499.12794278</v>
      </c>
      <c r="AH15" s="11" t="n">
        <f aca="false">AH12*Assumptions!D29</f>
        <v>3239247.37064363</v>
      </c>
      <c r="AI15" s="11" t="n">
        <f aca="false">AI12*Assumptions!D29</f>
        <v>4042254.07176957</v>
      </c>
      <c r="AJ15" s="11" t="n">
        <f aca="false">AJ12*Assumptions!D29</f>
        <v>4968885.69607632</v>
      </c>
      <c r="AK15" s="11" t="n">
        <f aca="false">AK12*Assumptions!D29</f>
        <v>6000762.91730622</v>
      </c>
      <c r="AL15" s="13" t="n">
        <f aca="false">SUM(B15:M15)</f>
        <v>264009.293538545</v>
      </c>
      <c r="AM15" s="13" t="n">
        <f aca="false">SUM(N15:Y15)</f>
        <v>1180958.57116317</v>
      </c>
      <c r="AN15" s="13" t="n">
        <f aca="false">SUM(Z15:AC15)</f>
        <v>3968884.7375013</v>
      </c>
      <c r="AO15" s="13" t="n">
        <f aca="false">SUM(AD15:AG15)</f>
        <v>8775742.08710829</v>
      </c>
      <c r="AP15" s="13" t="n">
        <f aca="false">SUM(AH15:AK15)</f>
        <v>18251150.0557957</v>
      </c>
    </row>
    <row r="16" customFormat="false" ht="15" hidden="false" customHeight="false" outlineLevel="0" collapsed="false">
      <c r="A16" s="14" t="s">
        <v>120</v>
      </c>
      <c r="B16" s="11" t="n">
        <f aca="false">B12-B15</f>
        <v>4312</v>
      </c>
      <c r="C16" s="11" t="n">
        <f aca="false">C12-C15</f>
        <v>13582.8</v>
      </c>
      <c r="D16" s="11" t="n">
        <f aca="false">D12-D15</f>
        <v>19015.92</v>
      </c>
      <c r="E16" s="11" t="n">
        <f aca="false">E12-E15</f>
        <v>24958.395</v>
      </c>
      <c r="F16" s="11" t="n">
        <f aca="false">F12-F15</f>
        <v>31447.5777</v>
      </c>
      <c r="G16" s="11" t="n">
        <f aca="false">G12-G15</f>
        <v>44026.60878</v>
      </c>
      <c r="H16" s="11" t="n">
        <f aca="false">H12-H15</f>
        <v>52006.431621375</v>
      </c>
      <c r="I16" s="11" t="n">
        <f aca="false">I12-I15</f>
        <v>60674.1702249375</v>
      </c>
      <c r="J16" s="11" t="n">
        <f aca="false">J12-J15</f>
        <v>70078.6666098028</v>
      </c>
      <c r="K16" s="11" t="n">
        <f aca="false">K12-K15</f>
        <v>86961.2544748917</v>
      </c>
      <c r="L16" s="11" t="n">
        <f aca="false">L12-L15</f>
        <v>98333.1108293006</v>
      </c>
      <c r="M16" s="11" t="n">
        <f aca="false">M12-M15</f>
        <v>110624.749682963</v>
      </c>
      <c r="N16" s="11" t="n">
        <f aca="false">N12-N15</f>
        <v>135551.23548815</v>
      </c>
      <c r="O16" s="11" t="n">
        <f aca="false">O12-O15</f>
        <v>157558.377249756</v>
      </c>
      <c r="P16" s="11" t="n">
        <f aca="false">P12-P15</f>
        <v>181109.208375509</v>
      </c>
      <c r="Q16" s="11" t="n">
        <f aca="false">Q12-Q15</f>
        <v>206292.012587723</v>
      </c>
      <c r="R16" s="11" t="n">
        <f aca="false">R12-R15</f>
        <v>233199.666403513</v>
      </c>
      <c r="S16" s="11" t="n">
        <f aca="false">S12-S15</f>
        <v>271630.971426811</v>
      </c>
      <c r="T16" s="11" t="n">
        <f aca="false">T12-T15</f>
        <v>302674.511018447</v>
      </c>
      <c r="U16" s="11" t="n">
        <f aca="false">U12-U15</f>
        <v>335766.924223131</v>
      </c>
      <c r="V16" s="11" t="n">
        <f aca="false">V12-V15</f>
        <v>371022.451266559</v>
      </c>
      <c r="W16" s="11" t="n">
        <f aca="false">W12-W15</f>
        <v>408561.193394705</v>
      </c>
      <c r="X16" s="11" t="n">
        <f aca="false">X12-X15</f>
        <v>448509.398971077</v>
      </c>
      <c r="Y16" s="11" t="n">
        <f aca="false">Y12-Y15</f>
        <v>490999.763084126</v>
      </c>
      <c r="Z16" s="11" t="n">
        <f aca="false">Z12-Z15</f>
        <v>2054431.38870134</v>
      </c>
      <c r="AA16" s="11" t="n">
        <f aca="false">AA12-AA15</f>
        <v>2823909.32701493</v>
      </c>
      <c r="AB16" s="11" t="n">
        <f aca="false">AB12-AB15</f>
        <v>3703355.37457101</v>
      </c>
      <c r="AC16" s="11" t="n">
        <f aca="false">AC12-AC15</f>
        <v>4705439.77004316</v>
      </c>
      <c r="AD16" s="11" t="n">
        <f aca="false">AD12-AD15</f>
        <v>5905117.85222095</v>
      </c>
      <c r="AE16" s="11" t="n">
        <f aca="false">AE12-AE15</f>
        <v>7653032.73647835</v>
      </c>
      <c r="AF16" s="11" t="n">
        <f aca="false">AF12-AF15</f>
        <v>9642821.24796272</v>
      </c>
      <c r="AG16" s="11" t="n">
        <f aca="false">AG12-AG15</f>
        <v>11901996.5117711</v>
      </c>
      <c r="AH16" s="11" t="n">
        <f aca="false">AH12-AH15</f>
        <v>14756571.3551543</v>
      </c>
      <c r="AI16" s="11" t="n">
        <f aca="false">AI12-AI15</f>
        <v>18414712.993617</v>
      </c>
      <c r="AJ16" s="11" t="n">
        <f aca="false">AJ12-AJ15</f>
        <v>22636034.837681</v>
      </c>
      <c r="AK16" s="11" t="n">
        <f aca="false">AK12-AK15</f>
        <v>27336808.8455061</v>
      </c>
      <c r="AL16" s="13" t="n">
        <f aca="false">SUM(B16:M16)</f>
        <v>616021.684923271</v>
      </c>
      <c r="AM16" s="13" t="n">
        <f aca="false">SUM(N16:Y16)</f>
        <v>3542875.71348951</v>
      </c>
      <c r="AN16" s="13" t="n">
        <f aca="false">SUM(Z16:AC16)</f>
        <v>13287135.8603304</v>
      </c>
      <c r="AO16" s="13" t="n">
        <f aca="false">SUM(AD16:AG16)</f>
        <v>35102968.3484332</v>
      </c>
      <c r="AP16" s="13" t="n">
        <f aca="false">SUM(AH16:AK16)</f>
        <v>83144128.0319584</v>
      </c>
    </row>
    <row r="17" customFormat="false" ht="15" hidden="false" customHeight="false" outlineLevel="0" collapsed="false">
      <c r="A17" s="5" t="s">
        <v>121</v>
      </c>
      <c r="B17" s="15" t="n">
        <f aca="false">IF(B12=0,0,B16/B12)</f>
        <v>0.7</v>
      </c>
      <c r="C17" s="15" t="n">
        <f aca="false">IF(C12=0,0,C16/C12)</f>
        <v>0.7</v>
      </c>
      <c r="D17" s="15" t="n">
        <f aca="false">IF(D12=0,0,D16/D12)</f>
        <v>0.7</v>
      </c>
      <c r="E17" s="15" t="n">
        <f aca="false">IF(E12=0,0,E16/E12)</f>
        <v>0.7</v>
      </c>
      <c r="F17" s="15" t="n">
        <f aca="false">IF(F12=0,0,F16/F12)</f>
        <v>0.7</v>
      </c>
      <c r="G17" s="15" t="n">
        <f aca="false">IF(G12=0,0,G16/G12)</f>
        <v>0.7</v>
      </c>
      <c r="H17" s="15" t="n">
        <f aca="false">IF(H12=0,0,H16/H12)</f>
        <v>0.7</v>
      </c>
      <c r="I17" s="15" t="n">
        <f aca="false">IF(I12=0,0,I16/I12)</f>
        <v>0.7</v>
      </c>
      <c r="J17" s="15" t="n">
        <f aca="false">IF(J12=0,0,J16/J12)</f>
        <v>0.7</v>
      </c>
      <c r="K17" s="15" t="n">
        <f aca="false">IF(K12=0,0,K16/K12)</f>
        <v>0.7</v>
      </c>
      <c r="L17" s="15" t="n">
        <f aca="false">IF(L12=0,0,L16/L12)</f>
        <v>0.7</v>
      </c>
      <c r="M17" s="15" t="n">
        <f aca="false">IF(M12=0,0,M16/M12)</f>
        <v>0.7</v>
      </c>
      <c r="N17" s="15" t="n">
        <f aca="false">IF(N12=0,0,N16/N12)</f>
        <v>0.75</v>
      </c>
      <c r="O17" s="15" t="n">
        <f aca="false">IF(O12=0,0,O16/O12)</f>
        <v>0.75</v>
      </c>
      <c r="P17" s="15" t="n">
        <f aca="false">IF(P12=0,0,P16/P12)</f>
        <v>0.75</v>
      </c>
      <c r="Q17" s="15" t="n">
        <f aca="false">IF(Q12=0,0,Q16/Q12)</f>
        <v>0.75</v>
      </c>
      <c r="R17" s="15" t="n">
        <f aca="false">IF(R12=0,0,R16/R12)</f>
        <v>0.75</v>
      </c>
      <c r="S17" s="15" t="n">
        <f aca="false">IF(S12=0,0,S16/S12)</f>
        <v>0.75</v>
      </c>
      <c r="T17" s="15" t="n">
        <f aca="false">IF(T12=0,0,T16/T12)</f>
        <v>0.75</v>
      </c>
      <c r="U17" s="15" t="n">
        <f aca="false">IF(U12=0,0,U16/U12)</f>
        <v>0.75</v>
      </c>
      <c r="V17" s="15" t="n">
        <f aca="false">IF(V12=0,0,V16/V12)</f>
        <v>0.75</v>
      </c>
      <c r="W17" s="15" t="n">
        <f aca="false">IF(W12=0,0,W16/W12)</f>
        <v>0.75</v>
      </c>
      <c r="X17" s="15" t="n">
        <f aca="false">IF(X12=0,0,X16/X12)</f>
        <v>0.75</v>
      </c>
      <c r="Y17" s="15" t="n">
        <f aca="false">IF(Y12=0,0,Y16/Y12)</f>
        <v>0.75</v>
      </c>
      <c r="Z17" s="15" t="n">
        <f aca="false">IF(Z12=0,0,Z16/Z12)</f>
        <v>0.77</v>
      </c>
      <c r="AA17" s="15" t="n">
        <f aca="false">IF(AA12=0,0,AA16/AA12)</f>
        <v>0.77</v>
      </c>
      <c r="AB17" s="15" t="n">
        <f aca="false">IF(AB12=0,0,AB16/AB12)</f>
        <v>0.77</v>
      </c>
      <c r="AC17" s="15" t="n">
        <f aca="false">IF(AC12=0,0,AC16/AC12)</f>
        <v>0.77</v>
      </c>
      <c r="AD17" s="15" t="n">
        <f aca="false">IF(AD12=0,0,AD16/AD12)</f>
        <v>0.8</v>
      </c>
      <c r="AE17" s="15" t="n">
        <f aca="false">IF(AE12=0,0,AE16/AE12)</f>
        <v>0.8</v>
      </c>
      <c r="AF17" s="15" t="n">
        <f aca="false">IF(AF12=0,0,AF16/AF12)</f>
        <v>0.8</v>
      </c>
      <c r="AG17" s="15" t="n">
        <f aca="false">IF(AG12=0,0,AG16/AG12)</f>
        <v>0.8</v>
      </c>
      <c r="AH17" s="15" t="n">
        <f aca="false">IF(AH12=0,0,AH16/AH12)</f>
        <v>0.82</v>
      </c>
      <c r="AI17" s="15" t="n">
        <f aca="false">IF(AI12=0,0,AI16/AI12)</f>
        <v>0.82</v>
      </c>
      <c r="AJ17" s="15" t="n">
        <f aca="false">IF(AJ12=0,0,AJ16/AJ12)</f>
        <v>0.82</v>
      </c>
      <c r="AK17" s="15" t="n">
        <f aca="false">IF(AK12=0,0,AK16/AK12)</f>
        <v>0.82</v>
      </c>
      <c r="AL17" s="16" t="n">
        <f aca="false">IF(AL12=0,0,AL16/AL12)</f>
        <v>0.7</v>
      </c>
      <c r="AM17" s="16" t="n">
        <f aca="false">IF(AM12=0,0,AM16/AM12)</f>
        <v>0.75</v>
      </c>
      <c r="AN17" s="16" t="n">
        <f aca="false">IF(AN12=0,0,AN16/AN12)</f>
        <v>0.77</v>
      </c>
      <c r="AO17" s="16" t="n">
        <f aca="false">IF(AO12=0,0,AO16/AO12)</f>
        <v>0.8</v>
      </c>
      <c r="AP17" s="16" t="n">
        <f aca="false">IF(AP12=0,0,AP16/AP12)</f>
        <v>0.82</v>
      </c>
    </row>
    <row r="19" customFormat="false" ht="15" hidden="false" customHeight="false" outlineLevel="0" collapsed="false">
      <c r="A19" s="3" t="s">
        <v>122</v>
      </c>
    </row>
    <row r="20" customFormat="false" ht="15" hidden="false" customHeight="false" outlineLevel="0" collapsed="false">
      <c r="A20" s="5" t="s">
        <v>123</v>
      </c>
      <c r="B20" s="11" t="n">
        <f aca="false">Assumptions!D30</f>
        <v>45000</v>
      </c>
      <c r="C20" s="11" t="n">
        <f aca="false">Assumptions!D30</f>
        <v>45000</v>
      </c>
      <c r="D20" s="11" t="n">
        <f aca="false">Assumptions!D30</f>
        <v>45000</v>
      </c>
      <c r="E20" s="11" t="n">
        <f aca="false">Assumptions!D30</f>
        <v>45000</v>
      </c>
      <c r="F20" s="11" t="n">
        <f aca="false">Assumptions!D30</f>
        <v>45000</v>
      </c>
      <c r="G20" s="11" t="n">
        <f aca="false">Assumptions!D30</f>
        <v>45000</v>
      </c>
      <c r="H20" s="11" t="n">
        <f aca="false">Assumptions!D30</f>
        <v>45000</v>
      </c>
      <c r="I20" s="11" t="n">
        <f aca="false">Assumptions!D30</f>
        <v>45000</v>
      </c>
      <c r="J20" s="11" t="n">
        <f aca="false">Assumptions!D30</f>
        <v>45000</v>
      </c>
      <c r="K20" s="11" t="n">
        <f aca="false">Assumptions!D30</f>
        <v>45000</v>
      </c>
      <c r="L20" s="11" t="n">
        <f aca="false">Assumptions!D30</f>
        <v>45000</v>
      </c>
      <c r="M20" s="11" t="n">
        <f aca="false">Assumptions!D30</f>
        <v>45000</v>
      </c>
      <c r="N20" s="11" t="n">
        <f aca="false">Assumptions!D31</f>
        <v>120000</v>
      </c>
      <c r="O20" s="11" t="n">
        <f aca="false">Assumptions!D31</f>
        <v>120000</v>
      </c>
      <c r="P20" s="11" t="n">
        <f aca="false">Assumptions!D31</f>
        <v>120000</v>
      </c>
      <c r="Q20" s="11" t="n">
        <f aca="false">Assumptions!D31</f>
        <v>120000</v>
      </c>
      <c r="R20" s="11" t="n">
        <f aca="false">Assumptions!D31</f>
        <v>120000</v>
      </c>
      <c r="S20" s="11" t="n">
        <f aca="false">Assumptions!D31</f>
        <v>120000</v>
      </c>
      <c r="T20" s="11" t="n">
        <f aca="false">Assumptions!D31</f>
        <v>120000</v>
      </c>
      <c r="U20" s="11" t="n">
        <f aca="false">Assumptions!D31</f>
        <v>120000</v>
      </c>
      <c r="V20" s="11" t="n">
        <f aca="false">Assumptions!D31</f>
        <v>120000</v>
      </c>
      <c r="W20" s="11" t="n">
        <f aca="false">Assumptions!D31</f>
        <v>120000</v>
      </c>
      <c r="X20" s="11" t="n">
        <f aca="false">Assumptions!D31</f>
        <v>120000</v>
      </c>
      <c r="Y20" s="11" t="n">
        <f aca="false">Assumptions!D31</f>
        <v>120000</v>
      </c>
      <c r="Z20" s="11" t="n">
        <f aca="false">Assumptions!D32*3</f>
        <v>660000</v>
      </c>
      <c r="AA20" s="11" t="n">
        <f aca="false">Assumptions!D32*3</f>
        <v>660000</v>
      </c>
      <c r="AB20" s="11" t="n">
        <f aca="false">Assumptions!D32*3</f>
        <v>660000</v>
      </c>
      <c r="AC20" s="11" t="n">
        <f aca="false">Assumptions!D32*3</f>
        <v>660000</v>
      </c>
      <c r="AD20" s="11" t="n">
        <f aca="false">Assumptions!D33*3</f>
        <v>1200000</v>
      </c>
      <c r="AE20" s="11" t="n">
        <f aca="false">Assumptions!D33*3</f>
        <v>1200000</v>
      </c>
      <c r="AF20" s="11" t="n">
        <f aca="false">Assumptions!D33*3</f>
        <v>1200000</v>
      </c>
      <c r="AG20" s="11" t="n">
        <f aca="false">Assumptions!D33*3</f>
        <v>1200000</v>
      </c>
      <c r="AH20" s="11" t="n">
        <f aca="false">Assumptions!D34*3</f>
        <v>1950000</v>
      </c>
      <c r="AI20" s="11" t="n">
        <f aca="false">Assumptions!D34*3</f>
        <v>1950000</v>
      </c>
      <c r="AJ20" s="11" t="n">
        <f aca="false">Assumptions!D34*3</f>
        <v>1950000</v>
      </c>
      <c r="AK20" s="11" t="n">
        <f aca="false">Assumptions!D34*3</f>
        <v>1950000</v>
      </c>
      <c r="AL20" s="13" t="n">
        <f aca="false">SUM(B20:M20)</f>
        <v>540000</v>
      </c>
      <c r="AM20" s="13" t="n">
        <f aca="false">SUM(N20:Y20)</f>
        <v>1440000</v>
      </c>
      <c r="AN20" s="13" t="n">
        <f aca="false">SUM(Z20:AC20)</f>
        <v>2640000</v>
      </c>
      <c r="AO20" s="13" t="n">
        <f aca="false">SUM(AD20:AG20)</f>
        <v>4800000</v>
      </c>
      <c r="AP20" s="13" t="n">
        <f aca="false">SUM(AH20:AK20)</f>
        <v>7800000</v>
      </c>
    </row>
    <row r="21" customFormat="false" ht="15" hidden="false" customHeight="false" outlineLevel="0" collapsed="false">
      <c r="A21" s="5" t="s">
        <v>124</v>
      </c>
      <c r="B21" s="11" t="n">
        <f aca="false">Assumptions!D35</f>
        <v>12000</v>
      </c>
      <c r="C21" s="11" t="n">
        <f aca="false">Assumptions!D35</f>
        <v>12000</v>
      </c>
      <c r="D21" s="11" t="n">
        <f aca="false">Assumptions!D35</f>
        <v>12000</v>
      </c>
      <c r="E21" s="11" t="n">
        <f aca="false">Assumptions!D35</f>
        <v>12000</v>
      </c>
      <c r="F21" s="11" t="n">
        <f aca="false">Assumptions!D35</f>
        <v>12000</v>
      </c>
      <c r="G21" s="11" t="n">
        <f aca="false">Assumptions!D35</f>
        <v>12000</v>
      </c>
      <c r="H21" s="11" t="n">
        <f aca="false">Assumptions!D35</f>
        <v>12000</v>
      </c>
      <c r="I21" s="11" t="n">
        <f aca="false">Assumptions!D35</f>
        <v>12000</v>
      </c>
      <c r="J21" s="11" t="n">
        <f aca="false">Assumptions!D35</f>
        <v>12000</v>
      </c>
      <c r="K21" s="11" t="n">
        <f aca="false">Assumptions!D35</f>
        <v>12000</v>
      </c>
      <c r="L21" s="11" t="n">
        <f aca="false">Assumptions!D35</f>
        <v>12000</v>
      </c>
      <c r="M21" s="11" t="n">
        <f aca="false">Assumptions!D35</f>
        <v>12000</v>
      </c>
      <c r="N21" s="11" t="n">
        <f aca="false">Assumptions!D36</f>
        <v>25000</v>
      </c>
      <c r="O21" s="11" t="n">
        <f aca="false">Assumptions!D36</f>
        <v>25000</v>
      </c>
      <c r="P21" s="11" t="n">
        <f aca="false">Assumptions!D36</f>
        <v>25000</v>
      </c>
      <c r="Q21" s="11" t="n">
        <f aca="false">Assumptions!D36</f>
        <v>25000</v>
      </c>
      <c r="R21" s="11" t="n">
        <f aca="false">Assumptions!D36</f>
        <v>25000</v>
      </c>
      <c r="S21" s="11" t="n">
        <f aca="false">Assumptions!D36</f>
        <v>25000</v>
      </c>
      <c r="T21" s="11" t="n">
        <f aca="false">Assumptions!D36</f>
        <v>25000</v>
      </c>
      <c r="U21" s="11" t="n">
        <f aca="false">Assumptions!D36</f>
        <v>25000</v>
      </c>
      <c r="V21" s="11" t="n">
        <f aca="false">Assumptions!D36</f>
        <v>25000</v>
      </c>
      <c r="W21" s="11" t="n">
        <f aca="false">Assumptions!D36</f>
        <v>25000</v>
      </c>
      <c r="X21" s="11" t="n">
        <f aca="false">Assumptions!D36</f>
        <v>25000</v>
      </c>
      <c r="Y21" s="11" t="n">
        <f aca="false">Assumptions!D36</f>
        <v>25000</v>
      </c>
      <c r="Z21" s="11" t="n">
        <f aca="false">Assumptions!D37*3</f>
        <v>135000</v>
      </c>
      <c r="AA21" s="11" t="n">
        <f aca="false">Assumptions!D37*3</f>
        <v>135000</v>
      </c>
      <c r="AB21" s="11" t="n">
        <f aca="false">Assumptions!D37*3</f>
        <v>135000</v>
      </c>
      <c r="AC21" s="11" t="n">
        <f aca="false">Assumptions!D37*3</f>
        <v>135000</v>
      </c>
      <c r="AD21" s="11" t="n">
        <f aca="false">Assumptions!D38*3</f>
        <v>240000</v>
      </c>
      <c r="AE21" s="11" t="n">
        <f aca="false">Assumptions!D38*3</f>
        <v>240000</v>
      </c>
      <c r="AF21" s="11" t="n">
        <f aca="false">Assumptions!D38*3</f>
        <v>240000</v>
      </c>
      <c r="AG21" s="11" t="n">
        <f aca="false">Assumptions!D38*3</f>
        <v>240000</v>
      </c>
      <c r="AH21" s="11" t="n">
        <f aca="false">Assumptions!D39*3</f>
        <v>360000</v>
      </c>
      <c r="AI21" s="11" t="n">
        <f aca="false">Assumptions!D39*3</f>
        <v>360000</v>
      </c>
      <c r="AJ21" s="11" t="n">
        <f aca="false">Assumptions!D39*3</f>
        <v>360000</v>
      </c>
      <c r="AK21" s="11" t="n">
        <f aca="false">Assumptions!D39*3</f>
        <v>360000</v>
      </c>
      <c r="AL21" s="13" t="n">
        <f aca="false">SUM(B21:M21)</f>
        <v>144000</v>
      </c>
      <c r="AM21" s="13" t="n">
        <f aca="false">SUM(N21:Y21)</f>
        <v>300000</v>
      </c>
      <c r="AN21" s="13" t="n">
        <f aca="false">SUM(Z21:AC21)</f>
        <v>540000</v>
      </c>
      <c r="AO21" s="13" t="n">
        <f aca="false">SUM(AD21:AG21)</f>
        <v>960000</v>
      </c>
      <c r="AP21" s="13" t="n">
        <f aca="false">SUM(AH21:AK21)</f>
        <v>1440000</v>
      </c>
    </row>
    <row r="22" customFormat="false" ht="15" hidden="false" customHeight="false" outlineLevel="0" collapsed="false">
      <c r="A22" s="5" t="s">
        <v>125</v>
      </c>
      <c r="B22" s="11" t="n">
        <f aca="false">Assumptions!D40</f>
        <v>15000</v>
      </c>
      <c r="C22" s="11" t="n">
        <f aca="false">Assumptions!D40</f>
        <v>15000</v>
      </c>
      <c r="D22" s="11" t="n">
        <f aca="false">Assumptions!D40</f>
        <v>15000</v>
      </c>
      <c r="E22" s="11" t="n">
        <f aca="false">Assumptions!D40</f>
        <v>15000</v>
      </c>
      <c r="F22" s="11" t="n">
        <f aca="false">Assumptions!D40</f>
        <v>15000</v>
      </c>
      <c r="G22" s="11" t="n">
        <f aca="false">Assumptions!D40</f>
        <v>15000</v>
      </c>
      <c r="H22" s="11" t="n">
        <f aca="false">Assumptions!D40</f>
        <v>15000</v>
      </c>
      <c r="I22" s="11" t="n">
        <f aca="false">Assumptions!D40</f>
        <v>15000</v>
      </c>
      <c r="J22" s="11" t="n">
        <f aca="false">Assumptions!D40</f>
        <v>15000</v>
      </c>
      <c r="K22" s="11" t="n">
        <f aca="false">Assumptions!D40</f>
        <v>15000</v>
      </c>
      <c r="L22" s="11" t="n">
        <f aca="false">Assumptions!D40</f>
        <v>15000</v>
      </c>
      <c r="M22" s="11" t="n">
        <f aca="false">Assumptions!D40</f>
        <v>15000</v>
      </c>
      <c r="N22" s="11" t="n">
        <f aca="false">Assumptions!D41</f>
        <v>30000</v>
      </c>
      <c r="O22" s="11" t="n">
        <f aca="false">Assumptions!D41</f>
        <v>30000</v>
      </c>
      <c r="P22" s="11" t="n">
        <f aca="false">Assumptions!D41</f>
        <v>30000</v>
      </c>
      <c r="Q22" s="11" t="n">
        <f aca="false">Assumptions!D41</f>
        <v>30000</v>
      </c>
      <c r="R22" s="11" t="n">
        <f aca="false">Assumptions!D41</f>
        <v>30000</v>
      </c>
      <c r="S22" s="11" t="n">
        <f aca="false">Assumptions!D41</f>
        <v>30000</v>
      </c>
      <c r="T22" s="11" t="n">
        <f aca="false">Assumptions!D41</f>
        <v>30000</v>
      </c>
      <c r="U22" s="11" t="n">
        <f aca="false">Assumptions!D41</f>
        <v>30000</v>
      </c>
      <c r="V22" s="11" t="n">
        <f aca="false">Assumptions!D41</f>
        <v>30000</v>
      </c>
      <c r="W22" s="11" t="n">
        <f aca="false">Assumptions!D41</f>
        <v>30000</v>
      </c>
      <c r="X22" s="11" t="n">
        <f aca="false">Assumptions!D41</f>
        <v>30000</v>
      </c>
      <c r="Y22" s="11" t="n">
        <f aca="false">Assumptions!D41</f>
        <v>30000</v>
      </c>
      <c r="Z22" s="11" t="n">
        <f aca="false">Assumptions!D42*3</f>
        <v>120000</v>
      </c>
      <c r="AA22" s="11" t="n">
        <f aca="false">Assumptions!D42*3</f>
        <v>120000</v>
      </c>
      <c r="AB22" s="11" t="n">
        <f aca="false">Assumptions!D42*3</f>
        <v>120000</v>
      </c>
      <c r="AC22" s="11" t="n">
        <f aca="false">Assumptions!D42*3</f>
        <v>120000</v>
      </c>
      <c r="AD22" s="11" t="n">
        <f aca="false">Assumptions!D43*3</f>
        <v>150000</v>
      </c>
      <c r="AE22" s="11" t="n">
        <f aca="false">Assumptions!D43*3</f>
        <v>150000</v>
      </c>
      <c r="AF22" s="11" t="n">
        <f aca="false">Assumptions!D43*3</f>
        <v>150000</v>
      </c>
      <c r="AG22" s="11" t="n">
        <f aca="false">Assumptions!D43*3</f>
        <v>150000</v>
      </c>
      <c r="AH22" s="11" t="n">
        <f aca="false">Assumptions!D44*3</f>
        <v>180000</v>
      </c>
      <c r="AI22" s="11" t="n">
        <f aca="false">Assumptions!D44*3</f>
        <v>180000</v>
      </c>
      <c r="AJ22" s="11" t="n">
        <f aca="false">Assumptions!D44*3</f>
        <v>180000</v>
      </c>
      <c r="AK22" s="11" t="n">
        <f aca="false">Assumptions!D44*3</f>
        <v>180000</v>
      </c>
      <c r="AL22" s="13" t="n">
        <f aca="false">SUM(B22:M22)</f>
        <v>180000</v>
      </c>
      <c r="AM22" s="13" t="n">
        <f aca="false">SUM(N22:Y22)</f>
        <v>360000</v>
      </c>
      <c r="AN22" s="13" t="n">
        <f aca="false">SUM(Z22:AC22)</f>
        <v>480000</v>
      </c>
      <c r="AO22" s="13" t="n">
        <f aca="false">SUM(AD22:AG22)</f>
        <v>600000</v>
      </c>
      <c r="AP22" s="13" t="n">
        <f aca="false">SUM(AH22:AK22)</f>
        <v>720000</v>
      </c>
    </row>
    <row r="23" customFormat="false" ht="15" hidden="false" customHeight="false" outlineLevel="0" collapsed="false">
      <c r="A23" s="5" t="s">
        <v>126</v>
      </c>
      <c r="B23" s="11" t="n">
        <f aca="false">Assumptions!D45</f>
        <v>3000</v>
      </c>
      <c r="C23" s="11" t="n">
        <f aca="false">Assumptions!D45</f>
        <v>3000</v>
      </c>
      <c r="D23" s="11" t="n">
        <f aca="false">Assumptions!D45</f>
        <v>3000</v>
      </c>
      <c r="E23" s="11" t="n">
        <f aca="false">Assumptions!D45</f>
        <v>3000</v>
      </c>
      <c r="F23" s="11" t="n">
        <f aca="false">Assumptions!D45</f>
        <v>3000</v>
      </c>
      <c r="G23" s="11" t="n">
        <f aca="false">Assumptions!D45</f>
        <v>3000</v>
      </c>
      <c r="H23" s="11" t="n">
        <f aca="false">Assumptions!D45</f>
        <v>3000</v>
      </c>
      <c r="I23" s="11" t="n">
        <f aca="false">Assumptions!D45</f>
        <v>3000</v>
      </c>
      <c r="J23" s="11" t="n">
        <f aca="false">Assumptions!D45</f>
        <v>3000</v>
      </c>
      <c r="K23" s="11" t="n">
        <f aca="false">Assumptions!D45</f>
        <v>3000</v>
      </c>
      <c r="L23" s="11" t="n">
        <f aca="false">Assumptions!D45</f>
        <v>3000</v>
      </c>
      <c r="M23" s="11" t="n">
        <f aca="false">Assumptions!D45</f>
        <v>3000</v>
      </c>
      <c r="N23" s="11" t="n">
        <f aca="false">Assumptions!D46</f>
        <v>15000</v>
      </c>
      <c r="O23" s="11" t="n">
        <f aca="false">Assumptions!D46</f>
        <v>15000</v>
      </c>
      <c r="P23" s="11" t="n">
        <f aca="false">Assumptions!D46</f>
        <v>15000</v>
      </c>
      <c r="Q23" s="11" t="n">
        <f aca="false">Assumptions!D46</f>
        <v>15000</v>
      </c>
      <c r="R23" s="11" t="n">
        <f aca="false">Assumptions!D46</f>
        <v>15000</v>
      </c>
      <c r="S23" s="11" t="n">
        <f aca="false">Assumptions!D46</f>
        <v>15000</v>
      </c>
      <c r="T23" s="11" t="n">
        <f aca="false">Assumptions!D46</f>
        <v>15000</v>
      </c>
      <c r="U23" s="11" t="n">
        <f aca="false">Assumptions!D46</f>
        <v>15000</v>
      </c>
      <c r="V23" s="11" t="n">
        <f aca="false">Assumptions!D46</f>
        <v>15000</v>
      </c>
      <c r="W23" s="11" t="n">
        <f aca="false">Assumptions!D46</f>
        <v>15000</v>
      </c>
      <c r="X23" s="11" t="n">
        <f aca="false">Assumptions!D46</f>
        <v>15000</v>
      </c>
      <c r="Y23" s="11" t="n">
        <f aca="false">Assumptions!D46</f>
        <v>15000</v>
      </c>
      <c r="Z23" s="11" t="n">
        <f aca="false">Assumptions!D47*3</f>
        <v>105000</v>
      </c>
      <c r="AA23" s="11" t="n">
        <f aca="false">Assumptions!D47*3</f>
        <v>105000</v>
      </c>
      <c r="AB23" s="11" t="n">
        <f aca="false">Assumptions!D47*3</f>
        <v>105000</v>
      </c>
      <c r="AC23" s="11" t="n">
        <f aca="false">Assumptions!D47*3</f>
        <v>105000</v>
      </c>
      <c r="AD23" s="11" t="n">
        <f aca="false">Assumptions!D48*3</f>
        <v>210000</v>
      </c>
      <c r="AE23" s="11" t="n">
        <f aca="false">Assumptions!D48*3</f>
        <v>210000</v>
      </c>
      <c r="AF23" s="11" t="n">
        <f aca="false">Assumptions!D48*3</f>
        <v>210000</v>
      </c>
      <c r="AG23" s="11" t="n">
        <f aca="false">Assumptions!D48*3</f>
        <v>210000</v>
      </c>
      <c r="AH23" s="11" t="n">
        <f aca="false">Assumptions!D49*3</f>
        <v>360000</v>
      </c>
      <c r="AI23" s="11" t="n">
        <f aca="false">Assumptions!D49*3</f>
        <v>360000</v>
      </c>
      <c r="AJ23" s="11" t="n">
        <f aca="false">Assumptions!D49*3</f>
        <v>360000</v>
      </c>
      <c r="AK23" s="11" t="n">
        <f aca="false">Assumptions!D49*3</f>
        <v>360000</v>
      </c>
      <c r="AL23" s="13" t="n">
        <f aca="false">SUM(B23:M23)</f>
        <v>36000</v>
      </c>
      <c r="AM23" s="13" t="n">
        <f aca="false">SUM(N23:Y23)</f>
        <v>180000</v>
      </c>
      <c r="AN23" s="13" t="n">
        <f aca="false">SUM(Z23:AC23)</f>
        <v>420000</v>
      </c>
      <c r="AO23" s="13" t="n">
        <f aca="false">SUM(AD23:AG23)</f>
        <v>840000</v>
      </c>
      <c r="AP23" s="13" t="n">
        <f aca="false">SUM(AH23:AK23)</f>
        <v>1440000</v>
      </c>
    </row>
    <row r="24" customFormat="false" ht="15" hidden="false" customHeight="false" outlineLevel="0" collapsed="false">
      <c r="A24" s="5" t="s">
        <v>127</v>
      </c>
      <c r="B24" s="11" t="n">
        <f aca="false">Assumptions!D50</f>
        <v>7500</v>
      </c>
      <c r="C24" s="11" t="n">
        <f aca="false">Assumptions!D50</f>
        <v>7500</v>
      </c>
      <c r="D24" s="11" t="n">
        <f aca="false">Assumptions!D50</f>
        <v>7500</v>
      </c>
      <c r="E24" s="11" t="n">
        <f aca="false">Assumptions!D50</f>
        <v>7500</v>
      </c>
      <c r="F24" s="11" t="n">
        <f aca="false">Assumptions!D50</f>
        <v>7500</v>
      </c>
      <c r="G24" s="11" t="n">
        <f aca="false">Assumptions!D50</f>
        <v>7500</v>
      </c>
      <c r="H24" s="11" t="n">
        <f aca="false">Assumptions!D50</f>
        <v>7500</v>
      </c>
      <c r="I24" s="11" t="n">
        <f aca="false">Assumptions!D50</f>
        <v>7500</v>
      </c>
      <c r="J24" s="11" t="n">
        <f aca="false">Assumptions!D50</f>
        <v>7500</v>
      </c>
      <c r="K24" s="11" t="n">
        <f aca="false">Assumptions!D50</f>
        <v>7500</v>
      </c>
      <c r="L24" s="11" t="n">
        <f aca="false">Assumptions!D50</f>
        <v>7500</v>
      </c>
      <c r="M24" s="11" t="n">
        <f aca="false">Assumptions!D50</f>
        <v>7500</v>
      </c>
      <c r="N24" s="11" t="n">
        <f aca="false">Assumptions!D51</f>
        <v>12000</v>
      </c>
      <c r="O24" s="11" t="n">
        <f aca="false">Assumptions!D51</f>
        <v>12000</v>
      </c>
      <c r="P24" s="11" t="n">
        <f aca="false">Assumptions!D51</f>
        <v>12000</v>
      </c>
      <c r="Q24" s="11" t="n">
        <f aca="false">Assumptions!D51</f>
        <v>12000</v>
      </c>
      <c r="R24" s="11" t="n">
        <f aca="false">Assumptions!D51</f>
        <v>12000</v>
      </c>
      <c r="S24" s="11" t="n">
        <f aca="false">Assumptions!D51</f>
        <v>12000</v>
      </c>
      <c r="T24" s="11" t="n">
        <f aca="false">Assumptions!D51</f>
        <v>12000</v>
      </c>
      <c r="U24" s="11" t="n">
        <f aca="false">Assumptions!D51</f>
        <v>12000</v>
      </c>
      <c r="V24" s="11" t="n">
        <f aca="false">Assumptions!D51</f>
        <v>12000</v>
      </c>
      <c r="W24" s="11" t="n">
        <f aca="false">Assumptions!D51</f>
        <v>12000</v>
      </c>
      <c r="X24" s="11" t="n">
        <f aca="false">Assumptions!D51</f>
        <v>12000</v>
      </c>
      <c r="Y24" s="11" t="n">
        <f aca="false">Assumptions!D51</f>
        <v>12000</v>
      </c>
      <c r="Z24" s="11" t="n">
        <f aca="false">Assumptions!D52*3</f>
        <v>60000</v>
      </c>
      <c r="AA24" s="11" t="n">
        <f aca="false">Assumptions!D52*3</f>
        <v>60000</v>
      </c>
      <c r="AB24" s="11" t="n">
        <f aca="false">Assumptions!D52*3</f>
        <v>60000</v>
      </c>
      <c r="AC24" s="11" t="n">
        <f aca="false">Assumptions!D52*3</f>
        <v>60000</v>
      </c>
      <c r="AD24" s="11" t="n">
        <f aca="false">Assumptions!D53*3</f>
        <v>105000</v>
      </c>
      <c r="AE24" s="11" t="n">
        <f aca="false">Assumptions!D53*3</f>
        <v>105000</v>
      </c>
      <c r="AF24" s="11" t="n">
        <f aca="false">Assumptions!D53*3</f>
        <v>105000</v>
      </c>
      <c r="AG24" s="11" t="n">
        <f aca="false">Assumptions!D53*3</f>
        <v>105000</v>
      </c>
      <c r="AH24" s="11" t="n">
        <f aca="false">Assumptions!D54*3</f>
        <v>150000</v>
      </c>
      <c r="AI24" s="11" t="n">
        <f aca="false">Assumptions!D54*3</f>
        <v>150000</v>
      </c>
      <c r="AJ24" s="11" t="n">
        <f aca="false">Assumptions!D54*3</f>
        <v>150000</v>
      </c>
      <c r="AK24" s="11" t="n">
        <f aca="false">Assumptions!D54*3</f>
        <v>150000</v>
      </c>
      <c r="AL24" s="13" t="n">
        <f aca="false">SUM(B24:M24)</f>
        <v>90000</v>
      </c>
      <c r="AM24" s="13" t="n">
        <f aca="false">SUM(N24:Y24)</f>
        <v>144000</v>
      </c>
      <c r="AN24" s="13" t="n">
        <f aca="false">SUM(Z24:AC24)</f>
        <v>240000</v>
      </c>
      <c r="AO24" s="13" t="n">
        <f aca="false">SUM(AD24:AG24)</f>
        <v>420000</v>
      </c>
      <c r="AP24" s="13" t="n">
        <f aca="false">SUM(AH24:AK24)</f>
        <v>600000</v>
      </c>
    </row>
    <row r="25" customFormat="false" ht="15" hidden="false" customHeight="false" outlineLevel="0" collapsed="false">
      <c r="A25" s="14" t="s">
        <v>128</v>
      </c>
      <c r="B25" s="11" t="n">
        <f aca="false">B20+B21+B22+B23+B24</f>
        <v>82500</v>
      </c>
      <c r="C25" s="11" t="n">
        <f aca="false">C20+C21+C22+C23+C24</f>
        <v>82500</v>
      </c>
      <c r="D25" s="11" t="n">
        <f aca="false">D20+D21+D22+D23+D24</f>
        <v>82500</v>
      </c>
      <c r="E25" s="11" t="n">
        <f aca="false">E20+E21+E22+E23+E24</f>
        <v>82500</v>
      </c>
      <c r="F25" s="11" t="n">
        <f aca="false">F20+F21+F22+F23+F24</f>
        <v>82500</v>
      </c>
      <c r="G25" s="11" t="n">
        <f aca="false">G20+G21+G22+G23+G24</f>
        <v>82500</v>
      </c>
      <c r="H25" s="11" t="n">
        <f aca="false">H20+H21+H22+H23+H24</f>
        <v>82500</v>
      </c>
      <c r="I25" s="11" t="n">
        <f aca="false">I20+I21+I22+I23+I24</f>
        <v>82500</v>
      </c>
      <c r="J25" s="11" t="n">
        <f aca="false">J20+J21+J22+J23+J24</f>
        <v>82500</v>
      </c>
      <c r="K25" s="11" t="n">
        <f aca="false">K20+K21+K22+K23+K24</f>
        <v>82500</v>
      </c>
      <c r="L25" s="11" t="n">
        <f aca="false">L20+L21+L22+L23+L24</f>
        <v>82500</v>
      </c>
      <c r="M25" s="11" t="n">
        <f aca="false">M20+M21+M22+M23+M24</f>
        <v>82500</v>
      </c>
      <c r="N25" s="11" t="n">
        <f aca="false">N20+N21+N22+N23+N24</f>
        <v>202000</v>
      </c>
      <c r="O25" s="11" t="n">
        <f aca="false">O20+O21+O22+O23+O24</f>
        <v>202000</v>
      </c>
      <c r="P25" s="11" t="n">
        <f aca="false">P20+P21+P22+P23+P24</f>
        <v>202000</v>
      </c>
      <c r="Q25" s="11" t="n">
        <f aca="false">Q20+Q21+Q22+Q23+Q24</f>
        <v>202000</v>
      </c>
      <c r="R25" s="11" t="n">
        <f aca="false">R20+R21+R22+R23+R24</f>
        <v>202000</v>
      </c>
      <c r="S25" s="11" t="n">
        <f aca="false">S20+S21+S22+S23+S24</f>
        <v>202000</v>
      </c>
      <c r="T25" s="11" t="n">
        <f aca="false">T20+T21+T22+T23+T24</f>
        <v>202000</v>
      </c>
      <c r="U25" s="11" t="n">
        <f aca="false">U20+U21+U22+U23+U24</f>
        <v>202000</v>
      </c>
      <c r="V25" s="11" t="n">
        <f aca="false">V20+V21+V22+V23+V24</f>
        <v>202000</v>
      </c>
      <c r="W25" s="11" t="n">
        <f aca="false">W20+W21+W22+W23+W24</f>
        <v>202000</v>
      </c>
      <c r="X25" s="11" t="n">
        <f aca="false">X20+X21+X22+X23+X24</f>
        <v>202000</v>
      </c>
      <c r="Y25" s="11" t="n">
        <f aca="false">Y20+Y21+Y22+Y23+Y24</f>
        <v>202000</v>
      </c>
      <c r="Z25" s="11" t="n">
        <f aca="false">Z20+Z21+Z22+Z23+Z24</f>
        <v>1080000</v>
      </c>
      <c r="AA25" s="11" t="n">
        <f aca="false">AA20+AA21+AA22+AA23+AA24</f>
        <v>1080000</v>
      </c>
      <c r="AB25" s="11" t="n">
        <f aca="false">AB20+AB21+AB22+AB23+AB24</f>
        <v>1080000</v>
      </c>
      <c r="AC25" s="11" t="n">
        <f aca="false">AC20+AC21+AC22+AC23+AC24</f>
        <v>1080000</v>
      </c>
      <c r="AD25" s="11" t="n">
        <f aca="false">AD20+AD21+AD22+AD23+AD24</f>
        <v>1905000</v>
      </c>
      <c r="AE25" s="11" t="n">
        <f aca="false">AE20+AE21+AE22+AE23+AE24</f>
        <v>1905000</v>
      </c>
      <c r="AF25" s="11" t="n">
        <f aca="false">AF20+AF21+AF22+AF23+AF24</f>
        <v>1905000</v>
      </c>
      <c r="AG25" s="11" t="n">
        <f aca="false">AG20+AG21+AG22+AG23+AG24</f>
        <v>1905000</v>
      </c>
      <c r="AH25" s="11" t="n">
        <f aca="false">AH20+AH21+AH22+AH23+AH24</f>
        <v>3000000</v>
      </c>
      <c r="AI25" s="11" t="n">
        <f aca="false">AI20+AI21+AI22+AI23+AI24</f>
        <v>3000000</v>
      </c>
      <c r="AJ25" s="11" t="n">
        <f aca="false">AJ20+AJ21+AJ22+AJ23+AJ24</f>
        <v>3000000</v>
      </c>
      <c r="AK25" s="11" t="n">
        <f aca="false">AK20+AK21+AK22+AK23+AK24</f>
        <v>3000000</v>
      </c>
      <c r="AL25" s="13" t="n">
        <f aca="false">SUM(B25:M25)</f>
        <v>990000</v>
      </c>
      <c r="AM25" s="13" t="n">
        <f aca="false">SUM(N25:Y25)</f>
        <v>2424000</v>
      </c>
      <c r="AN25" s="13" t="n">
        <f aca="false">SUM(Z25:AC25)</f>
        <v>4320000</v>
      </c>
      <c r="AO25" s="13" t="n">
        <f aca="false">SUM(AD25:AG25)</f>
        <v>7620000</v>
      </c>
      <c r="AP25" s="13" t="n">
        <f aca="false">SUM(AH25:AK25)</f>
        <v>12000000</v>
      </c>
    </row>
    <row r="27" customFormat="false" ht="15" hidden="false" customHeight="false" outlineLevel="0" collapsed="false">
      <c r="A27" s="14" t="s">
        <v>129</v>
      </c>
      <c r="B27" s="11" t="n">
        <f aca="false">B16-B25</f>
        <v>-78188</v>
      </c>
      <c r="C27" s="11" t="n">
        <f aca="false">C16-C25</f>
        <v>-68917.2</v>
      </c>
      <c r="D27" s="11" t="n">
        <f aca="false">D16-D25</f>
        <v>-63484.08</v>
      </c>
      <c r="E27" s="11" t="n">
        <f aca="false">E16-E25</f>
        <v>-57541.605</v>
      </c>
      <c r="F27" s="11" t="n">
        <f aca="false">F16-F25</f>
        <v>-51052.4223</v>
      </c>
      <c r="G27" s="11" t="n">
        <f aca="false">G16-G25</f>
        <v>-38473.39122</v>
      </c>
      <c r="H27" s="11" t="n">
        <f aca="false">H16-H25</f>
        <v>-30493.568378625</v>
      </c>
      <c r="I27" s="11" t="n">
        <f aca="false">I16-I25</f>
        <v>-21825.8297750625</v>
      </c>
      <c r="J27" s="11" t="n">
        <f aca="false">J16-J25</f>
        <v>-12421.3333901972</v>
      </c>
      <c r="K27" s="11" t="n">
        <f aca="false">K16-K25</f>
        <v>4461.2544748917</v>
      </c>
      <c r="L27" s="11" t="n">
        <f aca="false">L16-L25</f>
        <v>15833.1108293006</v>
      </c>
      <c r="M27" s="11" t="n">
        <f aca="false">M16-M25</f>
        <v>28124.7496829632</v>
      </c>
      <c r="N27" s="11" t="n">
        <f aca="false">N16-N25</f>
        <v>-66448.7645118496</v>
      </c>
      <c r="O27" s="11" t="n">
        <f aca="false">O16-O25</f>
        <v>-44441.622750244</v>
      </c>
      <c r="P27" s="11" t="n">
        <f aca="false">P16-P25</f>
        <v>-20890.791624491</v>
      </c>
      <c r="Q27" s="11" t="n">
        <f aca="false">Q16-Q25</f>
        <v>4292.0125877226</v>
      </c>
      <c r="R27" s="11" t="n">
        <f aca="false">R16-R25</f>
        <v>31199.6664035125</v>
      </c>
      <c r="S27" s="11" t="n">
        <f aca="false">S16-S25</f>
        <v>69630.9714268114</v>
      </c>
      <c r="T27" s="11" t="n">
        <f aca="false">T16-T25</f>
        <v>100674.511018447</v>
      </c>
      <c r="U27" s="11" t="n">
        <f aca="false">U16-U25</f>
        <v>133766.924223131</v>
      </c>
      <c r="V27" s="11" t="n">
        <f aca="false">V16-V25</f>
        <v>169022.451266559</v>
      </c>
      <c r="W27" s="11" t="n">
        <f aca="false">W16-W25</f>
        <v>206561.193394705</v>
      </c>
      <c r="X27" s="11" t="n">
        <f aca="false">X16-X25</f>
        <v>246509.398971076</v>
      </c>
      <c r="Y27" s="11" t="n">
        <f aca="false">Y16-Y25</f>
        <v>288999.763084126</v>
      </c>
      <c r="Z27" s="11" t="n">
        <f aca="false">Z16-Z25</f>
        <v>974431.388701338</v>
      </c>
      <c r="AA27" s="11" t="n">
        <f aca="false">AA16-AA25</f>
        <v>1743909.32701493</v>
      </c>
      <c r="AB27" s="11" t="n">
        <f aca="false">AB16-AB25</f>
        <v>2623355.37457101</v>
      </c>
      <c r="AC27" s="11" t="n">
        <f aca="false">AC16-AC25</f>
        <v>3625439.77004316</v>
      </c>
      <c r="AD27" s="11" t="n">
        <f aca="false">AD16-AD25</f>
        <v>4000117.85222095</v>
      </c>
      <c r="AE27" s="11" t="n">
        <f aca="false">AE16-AE25</f>
        <v>5748032.73647835</v>
      </c>
      <c r="AF27" s="11" t="n">
        <f aca="false">AF16-AF25</f>
        <v>7737821.24796272</v>
      </c>
      <c r="AG27" s="11" t="n">
        <f aca="false">AG16-AG25</f>
        <v>9996996.51177114</v>
      </c>
      <c r="AH27" s="11" t="n">
        <f aca="false">AH16-AH25</f>
        <v>11756571.3551543</v>
      </c>
      <c r="AI27" s="11" t="n">
        <f aca="false">AI16-AI25</f>
        <v>15414712.993617</v>
      </c>
      <c r="AJ27" s="11" t="n">
        <f aca="false">AJ16-AJ25</f>
        <v>19636034.837681</v>
      </c>
      <c r="AK27" s="11" t="n">
        <f aca="false">AK16-AK25</f>
        <v>24336808.8455061</v>
      </c>
      <c r="AL27" s="13" t="n">
        <f aca="false">SUM(B27:M27)</f>
        <v>-373978.315076729</v>
      </c>
      <c r="AM27" s="13" t="n">
        <f aca="false">SUM(N27:Y27)</f>
        <v>1118875.71348951</v>
      </c>
      <c r="AN27" s="13" t="n">
        <f aca="false">SUM(Z27:AC27)</f>
        <v>8967135.86033044</v>
      </c>
      <c r="AO27" s="13" t="n">
        <f aca="false">SUM(AD27:AG27)</f>
        <v>27482968.3484332</v>
      </c>
      <c r="AP27" s="13" t="n">
        <f aca="false">SUM(AH27:AK27)</f>
        <v>71144128.0319584</v>
      </c>
    </row>
    <row r="28" customFormat="false" ht="15" hidden="false" customHeight="false" outlineLevel="0" collapsed="false">
      <c r="A28" s="5" t="s">
        <v>130</v>
      </c>
      <c r="B28" s="15" t="n">
        <f aca="false">IF(B12=0,0,B27/B12)</f>
        <v>-12.6928571428571</v>
      </c>
      <c r="C28" s="15" t="n">
        <f aca="false">IF(C12=0,0,C27/C12)</f>
        <v>-3.55170068027211</v>
      </c>
      <c r="D28" s="15" t="n">
        <f aca="false">IF(D12=0,0,D27/D12)</f>
        <v>-2.33692905733722</v>
      </c>
      <c r="E28" s="15" t="n">
        <f aca="false">IF(E12=0,0,E27/E12)</f>
        <v>-1.61385071035217</v>
      </c>
      <c r="F28" s="15" t="n">
        <f aca="false">IF(F12=0,0,F27/F12)</f>
        <v>-1.13638945266045</v>
      </c>
      <c r="G28" s="15" t="n">
        <f aca="false">IF(G12=0,0,G27/G12)</f>
        <v>-0.611706751900322</v>
      </c>
      <c r="H28" s="15" t="n">
        <f aca="false">IF(H12=0,0,H27/H12)</f>
        <v>-0.410439578328314</v>
      </c>
      <c r="I28" s="15" t="n">
        <f aca="false">IF(I12=0,0,I27/I12)</f>
        <v>-0.251805352852841</v>
      </c>
      <c r="J28" s="15" t="n">
        <f aca="false">IF(J12=0,0,J27/J12)</f>
        <v>-0.124073898573888</v>
      </c>
      <c r="K28" s="15" t="n">
        <f aca="false">IF(K12=0,0,K27/K12)</f>
        <v>0.0359111440063903</v>
      </c>
      <c r="L28" s="15" t="n">
        <f aca="false">IF(L12=0,0,L27/L12)</f>
        <v>0.112710535515855</v>
      </c>
      <c r="M28" s="15" t="n">
        <f aca="false">IF(M12=0,0,M27/M12)</f>
        <v>0.177964920458538</v>
      </c>
      <c r="N28" s="15" t="n">
        <f aca="false">IF(N12=0,0,N27/N12)</f>
        <v>-0.367658569871492</v>
      </c>
      <c r="O28" s="15" t="n">
        <f aca="false">IF(O12=0,0,O27/O12)</f>
        <v>-0.211548364767984</v>
      </c>
      <c r="P28" s="15" t="n">
        <f aca="false">IF(P12=0,0,P27/P12)</f>
        <v>-0.0865118557963231</v>
      </c>
      <c r="Q28" s="15" t="n">
        <f aca="false">IF(Q12=0,0,Q27/Q12)</f>
        <v>0.0156041399781444</v>
      </c>
      <c r="R28" s="15" t="n">
        <f aca="false">IF(R12=0,0,R27/R12)</f>
        <v>0.10034212382682</v>
      </c>
      <c r="S28" s="15" t="n">
        <f aca="false">IF(S12=0,0,S27/S12)</f>
        <v>0.192258004659015</v>
      </c>
      <c r="T28" s="15" t="n">
        <f aca="false">IF(T12=0,0,T27/T12)</f>
        <v>0.249462311873475</v>
      </c>
      <c r="U28" s="15" t="n">
        <f aca="false">IF(U12=0,0,U27/U12)</f>
        <v>0.298794151328252</v>
      </c>
      <c r="V28" s="15" t="n">
        <f aca="false">IF(V12=0,0,V27/V12)</f>
        <v>0.341668915229188</v>
      </c>
      <c r="W28" s="15" t="n">
        <f aca="false">IF(W12=0,0,W27/W12)</f>
        <v>0.379186514898301</v>
      </c>
      <c r="X28" s="15" t="n">
        <f aca="false">IF(X12=0,0,X27/X12)</f>
        <v>0.41221443664825</v>
      </c>
      <c r="Y28" s="15" t="n">
        <f aca="false">IF(Y12=0,0,Y27/Y12)</f>
        <v>0.441445879630613</v>
      </c>
      <c r="Z28" s="15" t="n">
        <f aca="false">IF(Z12=0,0,Z27/Z12)</f>
        <v>0.365216464967624</v>
      </c>
      <c r="AA28" s="15" t="n">
        <f aca="false">IF(AA12=0,0,AA27/AA12)</f>
        <v>0.475514623984383</v>
      </c>
      <c r="AB28" s="15" t="n">
        <f aca="false">IF(AB12=0,0,AB27/AB12)</f>
        <v>0.545446881033843</v>
      </c>
      <c r="AC28" s="15" t="n">
        <f aca="false">IF(AC12=0,0,AC27/AC12)</f>
        <v>0.593268378591451</v>
      </c>
      <c r="AD28" s="15" t="n">
        <f aca="false">IF(AD12=0,0,AD27/AD12)</f>
        <v>0.541918783309835</v>
      </c>
      <c r="AE28" s="15" t="n">
        <f aca="false">IF(AE12=0,0,AE27/AE12)</f>
        <v>0.600863258726724</v>
      </c>
      <c r="AF28" s="15" t="n">
        <f aca="false">IF(AF12=0,0,AF27/AF12)</f>
        <v>0.641954967243432</v>
      </c>
      <c r="AG28" s="15" t="n">
        <f aca="false">IF(AG12=0,0,AG27/AG12)</f>
        <v>0.671954255868521</v>
      </c>
      <c r="AH28" s="15" t="n">
        <f aca="false">IF(AH12=0,0,AH27/AH12)</f>
        <v>0.653294608836033</v>
      </c>
      <c r="AI28" s="15" t="n">
        <f aca="false">IF(AI12=0,0,AI27/AI12)</f>
        <v>0.686411168023487</v>
      </c>
      <c r="AJ28" s="15" t="n">
        <f aca="false">IF(AJ12=0,0,AJ27/AJ12)</f>
        <v>0.711323722655482</v>
      </c>
      <c r="AK28" s="15" t="n">
        <f aca="false">IF(AK12=0,0,AK27/AK12)</f>
        <v>0.730011442304671</v>
      </c>
      <c r="AL28" s="16" t="n">
        <f aca="false">IF(AL12=0,0,AL27/AL12)</f>
        <v>-0.424960398246885</v>
      </c>
      <c r="AM28" s="16" t="n">
        <f aca="false">IF(AM12=0,0,AM27/AM12)</f>
        <v>0.236857528454086</v>
      </c>
      <c r="AN28" s="16" t="n">
        <f aca="false">IF(AN12=0,0,AN27/AN12)</f>
        <v>0.519652593684153</v>
      </c>
      <c r="AO28" s="16" t="n">
        <f aca="false">IF(AO12=0,0,AO27/AO12)</f>
        <v>0.626339472505832</v>
      </c>
      <c r="AP28" s="16" t="n">
        <f aca="false">IF(AP12=0,0,AP27/AP12)</f>
        <v>0.701651293567986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7" min="2" style="0" width="14"/>
  </cols>
  <sheetData>
    <row r="1" customFormat="false" ht="17.35" hidden="false" customHeight="false" outlineLevel="0" collapsed="false">
      <c r="A1" s="1" t="s">
        <v>133</v>
      </c>
    </row>
    <row r="3" customFormat="false" ht="15" hidden="false" customHeight="false" outlineLevel="0" collapsed="false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 t="s">
        <v>76</v>
      </c>
      <c r="J3" s="4" t="s">
        <v>77</v>
      </c>
      <c r="K3" s="4" t="s">
        <v>78</v>
      </c>
      <c r="L3" s="4" t="s">
        <v>79</v>
      </c>
      <c r="M3" s="4" t="s">
        <v>80</v>
      </c>
      <c r="N3" s="4" t="s">
        <v>81</v>
      </c>
      <c r="O3" s="4" t="s">
        <v>82</v>
      </c>
      <c r="P3" s="4" t="s">
        <v>83</v>
      </c>
      <c r="Q3" s="4" t="s">
        <v>84</v>
      </c>
      <c r="R3" s="4" t="s">
        <v>85</v>
      </c>
      <c r="S3" s="4" t="s">
        <v>86</v>
      </c>
      <c r="T3" s="4" t="s">
        <v>87</v>
      </c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4" t="s">
        <v>96</v>
      </c>
      <c r="AD3" s="4" t="s">
        <v>97</v>
      </c>
      <c r="AE3" s="4" t="s">
        <v>98</v>
      </c>
      <c r="AF3" s="4" t="s">
        <v>99</v>
      </c>
      <c r="AG3" s="4" t="s">
        <v>100</v>
      </c>
      <c r="AH3" s="4" t="s">
        <v>101</v>
      </c>
      <c r="AI3" s="4" t="s">
        <v>102</v>
      </c>
      <c r="AJ3" s="4" t="s">
        <v>103</v>
      </c>
      <c r="AK3" s="4" t="s">
        <v>104</v>
      </c>
    </row>
    <row r="5" customFormat="false" ht="15" hidden="false" customHeight="false" outlineLevel="0" collapsed="false">
      <c r="A5" s="3" t="s">
        <v>134</v>
      </c>
    </row>
    <row r="6" customFormat="false" ht="15" hidden="false" customHeight="false" outlineLevel="0" collapsed="false">
      <c r="A6" s="5" t="s">
        <v>135</v>
      </c>
      <c r="B6" s="11" t="n">
        <f aca="false">Assumptions!C57</f>
        <v>2000000</v>
      </c>
      <c r="C6" s="11" t="n">
        <v>0</v>
      </c>
      <c r="D6" s="11" t="n">
        <v>0</v>
      </c>
      <c r="E6" s="11" t="n">
        <v>0</v>
      </c>
      <c r="F6" s="11" t="n">
        <v>0</v>
      </c>
      <c r="G6" s="11" t="n">
        <v>0</v>
      </c>
      <c r="H6" s="11" t="n">
        <v>0</v>
      </c>
      <c r="I6" s="11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11" t="n">
        <v>0</v>
      </c>
      <c r="Q6" s="11" t="n">
        <v>0</v>
      </c>
      <c r="R6" s="11" t="n">
        <v>0</v>
      </c>
      <c r="S6" s="11" t="n">
        <v>0</v>
      </c>
      <c r="T6" s="11" t="n">
        <v>0</v>
      </c>
      <c r="U6" s="11" t="n">
        <v>0</v>
      </c>
      <c r="V6" s="11" t="n">
        <v>0</v>
      </c>
      <c r="W6" s="11" t="n">
        <v>0</v>
      </c>
      <c r="X6" s="11" t="n">
        <v>0</v>
      </c>
      <c r="Y6" s="11" t="n">
        <v>0</v>
      </c>
      <c r="Z6" s="11" t="n">
        <v>0</v>
      </c>
      <c r="AA6" s="11" t="n">
        <v>0</v>
      </c>
      <c r="AB6" s="11" t="n">
        <v>0</v>
      </c>
      <c r="AC6" s="11" t="n">
        <v>0</v>
      </c>
      <c r="AD6" s="11" t="n">
        <v>0</v>
      </c>
      <c r="AE6" s="11" t="n">
        <v>0</v>
      </c>
      <c r="AF6" s="11" t="n">
        <v>0</v>
      </c>
      <c r="AG6" s="11" t="n">
        <v>0</v>
      </c>
      <c r="AH6" s="11" t="n">
        <v>0</v>
      </c>
      <c r="AI6" s="11" t="n">
        <v>0</v>
      </c>
      <c r="AJ6" s="11" t="n">
        <v>0</v>
      </c>
      <c r="AK6" s="11" t="n">
        <v>0</v>
      </c>
    </row>
    <row r="7" customFormat="false" ht="15" hidden="false" customHeight="false" outlineLevel="0" collapsed="false">
      <c r="A7" s="5" t="s">
        <v>129</v>
      </c>
      <c r="B7" s="11" t="n">
        <f aca="false">'P&amp;L — Base'!B27</f>
        <v>-66117.5</v>
      </c>
      <c r="C7" s="11" t="n">
        <f aca="false">'P&amp;L — Base'!C27</f>
        <v>-63327.05</v>
      </c>
      <c r="D7" s="11" t="n">
        <f aca="false">'P&amp;L — Base'!D27</f>
        <v>-60371.54225</v>
      </c>
      <c r="E7" s="11" t="n">
        <f aca="false">'P&amp;L — Base'!E27</f>
        <v>-60120.1885175</v>
      </c>
      <c r="F7" s="11" t="n">
        <f aca="false">'P&amp;L — Base'!F27</f>
        <v>-56898.3922307</v>
      </c>
      <c r="G7" s="11" t="n">
        <f aca="false">'P&amp;L — Base'!G27</f>
        <v>-53491.0549970263</v>
      </c>
      <c r="H7" s="11" t="n">
        <f aca="false">'P&amp;L — Base'!H27</f>
        <v>-49889.9439763244</v>
      </c>
      <c r="I7" s="11" t="n">
        <f aca="false">'P&amp;L — Base'!I27</f>
        <v>-46086.4993448832</v>
      </c>
      <c r="J7" s="11" t="n">
        <f aca="false">'P&amp;L — Base'!J27</f>
        <v>-42071.8220859768</v>
      </c>
      <c r="K7" s="11" t="n">
        <f aca="false">'P&amp;L — Base'!K27</f>
        <v>-41271.4767485561</v>
      </c>
      <c r="L7" s="11" t="n">
        <f aca="false">'P&amp;L — Base'!L27</f>
        <v>-36909.2611823894</v>
      </c>
      <c r="M7" s="11" t="n">
        <f aca="false">'P&amp;L — Base'!M27</f>
        <v>-32310.043353179</v>
      </c>
      <c r="N7" s="11" t="n">
        <f aca="false">'P&amp;L — Base'!N27</f>
        <v>-127001.803627455</v>
      </c>
      <c r="O7" s="11" t="n">
        <f aca="false">'P&amp;L — Base'!O27</f>
        <v>-118230.593939622</v>
      </c>
      <c r="P7" s="11" t="n">
        <f aca="false">'P&amp;L — Base'!P27</f>
        <v>-113010.309464121</v>
      </c>
      <c r="Q7" s="11" t="n">
        <f aca="false">'P&amp;L — Base'!Q27</f>
        <v>-107560.429143633</v>
      </c>
      <c r="R7" s="11" t="n">
        <f aca="false">'P&amp;L — Base'!R27</f>
        <v>-101872.735863705</v>
      </c>
      <c r="S7" s="11" t="n">
        <f aca="false">'P&amp;L — Base'!S27</f>
        <v>-91670.4360428351</v>
      </c>
      <c r="T7" s="11" t="n">
        <f aca="false">'P&amp;L — Base'!T27</f>
        <v>-85374.6801074563</v>
      </c>
      <c r="U7" s="11" t="n">
        <f aca="false">'P&amp;L — Base'!U27</f>
        <v>-78812.1548527818</v>
      </c>
      <c r="V7" s="11" t="n">
        <f aca="false">'P&amp;L — Base'!V27</f>
        <v>-71973.4566603065</v>
      </c>
      <c r="W7" s="11" t="n">
        <f aca="false">'P&amp;L — Base'!W27</f>
        <v>-60137.4638460345</v>
      </c>
      <c r="X7" s="11" t="n">
        <f aca="false">'P&amp;L — Base'!X27</f>
        <v>-52599.2004614109</v>
      </c>
      <c r="Y7" s="11" t="n">
        <f aca="false">'P&amp;L — Base'!Y27</f>
        <v>-44751.7504926522</v>
      </c>
      <c r="Z7" s="11" t="n">
        <f aca="false">'P&amp;L — Base'!Z27</f>
        <v>-395770.968544264</v>
      </c>
      <c r="AA7" s="11" t="n">
        <f aca="false">'P&amp;L — Base'!AA27</f>
        <v>-224547.374889634</v>
      </c>
      <c r="AB7" s="11" t="n">
        <f aca="false">'P&amp;L — Base'!AB27</f>
        <v>-51200.4903845019</v>
      </c>
      <c r="AC7" s="11" t="n">
        <f aca="false">'P&amp;L — Base'!AC27</f>
        <v>158132.32963815</v>
      </c>
      <c r="AD7" s="11" t="n">
        <f aca="false">'P&amp;L — Base'!AD27</f>
        <v>-303200.517674127</v>
      </c>
      <c r="AE7" s="11" t="n">
        <f aca="false">'P&amp;L — Base'!AE27</f>
        <v>46808.9415185098</v>
      </c>
      <c r="AF7" s="11" t="n">
        <f aca="false">'P&amp;L — Base'!AF27</f>
        <v>434187.057677891</v>
      </c>
      <c r="AG7" s="11" t="n">
        <f aca="false">'P&amp;L — Base'!AG27</f>
        <v>862158.03558693</v>
      </c>
      <c r="AH7" s="11" t="n">
        <f aca="false">'P&amp;L — Base'!AH27</f>
        <v>441548.708958236</v>
      </c>
      <c r="AI7" s="11" t="n">
        <f aca="false">'P&amp;L — Base'!AI27</f>
        <v>1063899.00742369</v>
      </c>
      <c r="AJ7" s="11" t="n">
        <f aca="false">'P&amp;L — Base'!AJ27</f>
        <v>1750334.56635275</v>
      </c>
      <c r="AK7" s="11" t="n">
        <f aca="false">'P&amp;L — Base'!AK27</f>
        <v>2506305.15592658</v>
      </c>
    </row>
    <row r="8" customFormat="false" ht="15" hidden="false" customHeight="false" outlineLevel="0" collapsed="false">
      <c r="A8" s="17" t="s">
        <v>136</v>
      </c>
      <c r="B8" s="11" t="n">
        <f aca="false">B6+B7</f>
        <v>1933882.5</v>
      </c>
      <c r="C8" s="11" t="n">
        <f aca="false">C6+C7</f>
        <v>-63327.05</v>
      </c>
      <c r="D8" s="11" t="n">
        <f aca="false">D6+D7</f>
        <v>-60371.54225</v>
      </c>
      <c r="E8" s="11" t="n">
        <f aca="false">E6+E7</f>
        <v>-60120.1885175</v>
      </c>
      <c r="F8" s="11" t="n">
        <f aca="false">F6+F7</f>
        <v>-56898.3922307</v>
      </c>
      <c r="G8" s="11" t="n">
        <f aca="false">G6+G7</f>
        <v>-53491.0549970263</v>
      </c>
      <c r="H8" s="11" t="n">
        <f aca="false">H6+H7</f>
        <v>-49889.9439763244</v>
      </c>
      <c r="I8" s="11" t="n">
        <f aca="false">I6+I7</f>
        <v>-46086.4993448832</v>
      </c>
      <c r="J8" s="11" t="n">
        <f aca="false">J6+J7</f>
        <v>-42071.8220859768</v>
      </c>
      <c r="K8" s="11" t="n">
        <f aca="false">K6+K7</f>
        <v>-41271.4767485561</v>
      </c>
      <c r="L8" s="11" t="n">
        <f aca="false">L6+L7</f>
        <v>-36909.2611823894</v>
      </c>
      <c r="M8" s="11" t="n">
        <f aca="false">M6+M7</f>
        <v>-32310.043353179</v>
      </c>
      <c r="N8" s="11" t="n">
        <f aca="false">N6+N7</f>
        <v>-127001.803627455</v>
      </c>
      <c r="O8" s="11" t="n">
        <f aca="false">O6+O7</f>
        <v>-118230.593939622</v>
      </c>
      <c r="P8" s="11" t="n">
        <f aca="false">P6+P7</f>
        <v>-113010.309464121</v>
      </c>
      <c r="Q8" s="11" t="n">
        <f aca="false">Q6+Q7</f>
        <v>-107560.429143633</v>
      </c>
      <c r="R8" s="11" t="n">
        <f aca="false">R6+R7</f>
        <v>-101872.735863705</v>
      </c>
      <c r="S8" s="11" t="n">
        <f aca="false">S6+S7</f>
        <v>-91670.4360428351</v>
      </c>
      <c r="T8" s="11" t="n">
        <f aca="false">T6+T7</f>
        <v>-85374.6801074563</v>
      </c>
      <c r="U8" s="11" t="n">
        <f aca="false">U6+U7</f>
        <v>-78812.1548527818</v>
      </c>
      <c r="V8" s="11" t="n">
        <f aca="false">V6+V7</f>
        <v>-71973.4566603065</v>
      </c>
      <c r="W8" s="11" t="n">
        <f aca="false">W6+W7</f>
        <v>-60137.4638460345</v>
      </c>
      <c r="X8" s="11" t="n">
        <f aca="false">X6+X7</f>
        <v>-52599.2004614109</v>
      </c>
      <c r="Y8" s="11" t="n">
        <f aca="false">Y6+Y7</f>
        <v>-44751.7504926522</v>
      </c>
      <c r="Z8" s="11" t="n">
        <f aca="false">Z6+Z7</f>
        <v>-395770.968544264</v>
      </c>
      <c r="AA8" s="11" t="n">
        <f aca="false">AA6+AA7</f>
        <v>-224547.374889634</v>
      </c>
      <c r="AB8" s="11" t="n">
        <f aca="false">AB6+AB7</f>
        <v>-51200.4903845019</v>
      </c>
      <c r="AC8" s="11" t="n">
        <f aca="false">AC6+AC7</f>
        <v>158132.32963815</v>
      </c>
      <c r="AD8" s="11" t="n">
        <f aca="false">AD6+AD7</f>
        <v>-303200.517674127</v>
      </c>
      <c r="AE8" s="11" t="n">
        <f aca="false">AE6+AE7</f>
        <v>46808.9415185098</v>
      </c>
      <c r="AF8" s="11" t="n">
        <f aca="false">AF6+AF7</f>
        <v>434187.057677891</v>
      </c>
      <c r="AG8" s="11" t="n">
        <f aca="false">AG6+AG7</f>
        <v>862158.03558693</v>
      </c>
      <c r="AH8" s="11" t="n">
        <f aca="false">AH6+AH7</f>
        <v>441548.708958236</v>
      </c>
      <c r="AI8" s="11" t="n">
        <f aca="false">AI6+AI7</f>
        <v>1063899.00742369</v>
      </c>
      <c r="AJ8" s="11" t="n">
        <f aca="false">AJ6+AJ7</f>
        <v>1750334.56635275</v>
      </c>
      <c r="AK8" s="11" t="n">
        <f aca="false">AK6+AK7</f>
        <v>2506305.15592658</v>
      </c>
    </row>
    <row r="10" customFormat="false" ht="15" hidden="false" customHeight="false" outlineLevel="0" collapsed="false">
      <c r="A10" s="14" t="s">
        <v>137</v>
      </c>
      <c r="B10" s="11" t="n">
        <f aca="false">Assumptions!C59+B8</f>
        <v>1983882.5</v>
      </c>
      <c r="C10" s="11" t="n">
        <f aca="false">B10+C8</f>
        <v>1920555.45</v>
      </c>
      <c r="D10" s="11" t="n">
        <f aca="false">C10+D8</f>
        <v>1860183.90775</v>
      </c>
      <c r="E10" s="11" t="n">
        <f aca="false">D10+E8</f>
        <v>1800063.7192325</v>
      </c>
      <c r="F10" s="11" t="n">
        <f aca="false">E10+F8</f>
        <v>1743165.3270018</v>
      </c>
      <c r="G10" s="11" t="n">
        <f aca="false">F10+G8</f>
        <v>1689674.27200477</v>
      </c>
      <c r="H10" s="11" t="n">
        <f aca="false">G10+H8</f>
        <v>1639784.32802845</v>
      </c>
      <c r="I10" s="11" t="n">
        <f aca="false">H10+I8</f>
        <v>1593697.82868357</v>
      </c>
      <c r="J10" s="11" t="n">
        <f aca="false">I10+J8</f>
        <v>1551626.00659759</v>
      </c>
      <c r="K10" s="11" t="n">
        <f aca="false">J10+K8</f>
        <v>1510354.52984903</v>
      </c>
      <c r="L10" s="11" t="n">
        <f aca="false">K10+L8</f>
        <v>1473445.26866664</v>
      </c>
      <c r="M10" s="11" t="n">
        <f aca="false">L10+M8</f>
        <v>1441135.22531346</v>
      </c>
      <c r="N10" s="11" t="n">
        <f aca="false">M10+N8</f>
        <v>1314133.42168601</v>
      </c>
      <c r="O10" s="11" t="n">
        <f aca="false">N10+O8</f>
        <v>1195902.82774639</v>
      </c>
      <c r="P10" s="11" t="n">
        <f aca="false">O10+P8</f>
        <v>1082892.51828227</v>
      </c>
      <c r="Q10" s="11" t="n">
        <f aca="false">P10+Q8</f>
        <v>975332.089138634</v>
      </c>
      <c r="R10" s="11" t="n">
        <f aca="false">Q10+R8</f>
        <v>873459.353274929</v>
      </c>
      <c r="S10" s="11" t="n">
        <f aca="false">R10+S8</f>
        <v>781788.917232094</v>
      </c>
      <c r="T10" s="11" t="n">
        <f aca="false">S10+T8</f>
        <v>696414.237124637</v>
      </c>
      <c r="U10" s="11" t="n">
        <f aca="false">T10+U8</f>
        <v>617602.082271855</v>
      </c>
      <c r="V10" s="11" t="n">
        <f aca="false">U10+V8</f>
        <v>545628.625611549</v>
      </c>
      <c r="W10" s="11" t="n">
        <f aca="false">V10+W8</f>
        <v>485491.161765515</v>
      </c>
      <c r="X10" s="11" t="n">
        <f aca="false">W10+X8</f>
        <v>432891.961304104</v>
      </c>
      <c r="Y10" s="11" t="n">
        <f aca="false">X10+Y8</f>
        <v>388140.210811451</v>
      </c>
      <c r="Z10" s="11" t="n">
        <f aca="false">Y10+Z8</f>
        <v>-7630.75773281232</v>
      </c>
      <c r="AA10" s="11" t="n">
        <f aca="false">Z10+AA8</f>
        <v>-232178.132622446</v>
      </c>
      <c r="AB10" s="11" t="n">
        <f aca="false">AA10+AB8</f>
        <v>-283378.623006948</v>
      </c>
      <c r="AC10" s="11" t="n">
        <f aca="false">AB10+AC8</f>
        <v>-125246.293368797</v>
      </c>
      <c r="AD10" s="11" t="n">
        <f aca="false">AC10+AD8</f>
        <v>-428446.811042925</v>
      </c>
      <c r="AE10" s="11" t="n">
        <f aca="false">AD10+AE8</f>
        <v>-381637.869524415</v>
      </c>
      <c r="AF10" s="11" t="n">
        <f aca="false">AE10+AF8</f>
        <v>52549.1881534759</v>
      </c>
      <c r="AG10" s="11" t="n">
        <f aca="false">AF10+AG8</f>
        <v>914707.223740406</v>
      </c>
      <c r="AH10" s="11" t="n">
        <f aca="false">AG10+AH8</f>
        <v>1356255.93269864</v>
      </c>
      <c r="AI10" s="11" t="n">
        <f aca="false">AH10+AI8</f>
        <v>2420154.94012233</v>
      </c>
      <c r="AJ10" s="11" t="n">
        <f aca="false">AI10+AJ8</f>
        <v>4170489.50647509</v>
      </c>
      <c r="AK10" s="11" t="n">
        <f aca="false">AJ10+AK8</f>
        <v>6676794.66240166</v>
      </c>
    </row>
    <row r="12" customFormat="false" ht="15" hidden="false" customHeight="false" outlineLevel="0" collapsed="false">
      <c r="A12" s="5" t="s">
        <v>138</v>
      </c>
      <c r="B12" s="11" t="n">
        <f aca="false">IF(B7&lt;0,-B7,0)</f>
        <v>66117.5</v>
      </c>
      <c r="C12" s="11" t="n">
        <f aca="false">IF(C7&lt;0,-C7,0)</f>
        <v>63327.05</v>
      </c>
      <c r="D12" s="11" t="n">
        <f aca="false">IF(D7&lt;0,-D7,0)</f>
        <v>60371.54225</v>
      </c>
      <c r="E12" s="11" t="n">
        <f aca="false">IF(E7&lt;0,-E7,0)</f>
        <v>60120.1885175</v>
      </c>
      <c r="F12" s="11" t="n">
        <f aca="false">IF(F7&lt;0,-F7,0)</f>
        <v>56898.3922307</v>
      </c>
      <c r="G12" s="11" t="n">
        <f aca="false">IF(G7&lt;0,-G7,0)</f>
        <v>53491.0549970263</v>
      </c>
      <c r="H12" s="11" t="n">
        <f aca="false">IF(H7&lt;0,-H7,0)</f>
        <v>49889.9439763244</v>
      </c>
      <c r="I12" s="11" t="n">
        <f aca="false">IF(I7&lt;0,-I7,0)</f>
        <v>46086.4993448832</v>
      </c>
      <c r="J12" s="11" t="n">
        <f aca="false">IF(J7&lt;0,-J7,0)</f>
        <v>42071.8220859768</v>
      </c>
      <c r="K12" s="11" t="n">
        <f aca="false">IF(K7&lt;0,-K7,0)</f>
        <v>41271.4767485561</v>
      </c>
      <c r="L12" s="11" t="n">
        <f aca="false">IF(L7&lt;0,-L7,0)</f>
        <v>36909.2611823894</v>
      </c>
      <c r="M12" s="11" t="n">
        <f aca="false">IF(M7&lt;0,-M7,0)</f>
        <v>32310.043353179</v>
      </c>
      <c r="N12" s="11" t="n">
        <f aca="false">IF(N7&lt;0,-N7,0)</f>
        <v>127001.803627455</v>
      </c>
      <c r="O12" s="11" t="n">
        <f aca="false">IF(O7&lt;0,-O7,0)</f>
        <v>118230.593939622</v>
      </c>
      <c r="P12" s="11" t="n">
        <f aca="false">IF(P7&lt;0,-P7,0)</f>
        <v>113010.309464121</v>
      </c>
      <c r="Q12" s="11" t="n">
        <f aca="false">IF(Q7&lt;0,-Q7,0)</f>
        <v>107560.429143633</v>
      </c>
      <c r="R12" s="11" t="n">
        <f aca="false">IF(R7&lt;0,-R7,0)</f>
        <v>101872.735863705</v>
      </c>
      <c r="S12" s="11" t="n">
        <f aca="false">IF(S7&lt;0,-S7,0)</f>
        <v>91670.4360428351</v>
      </c>
      <c r="T12" s="11" t="n">
        <f aca="false">IF(T7&lt;0,-T7,0)</f>
        <v>85374.6801074563</v>
      </c>
      <c r="U12" s="11" t="n">
        <f aca="false">IF(U7&lt;0,-U7,0)</f>
        <v>78812.1548527818</v>
      </c>
      <c r="V12" s="11" t="n">
        <f aca="false">IF(V7&lt;0,-V7,0)</f>
        <v>71973.4566603065</v>
      </c>
      <c r="W12" s="11" t="n">
        <f aca="false">IF(W7&lt;0,-W7,0)</f>
        <v>60137.4638460345</v>
      </c>
      <c r="X12" s="11" t="n">
        <f aca="false">IF(X7&lt;0,-X7,0)</f>
        <v>52599.2004614109</v>
      </c>
      <c r="Y12" s="11" t="n">
        <f aca="false">IF(Y7&lt;0,-Y7,0)</f>
        <v>44751.7504926522</v>
      </c>
      <c r="Z12" s="11" t="n">
        <f aca="false">IF(Z7&lt;0,-Z7,0)</f>
        <v>395770.968544264</v>
      </c>
      <c r="AA12" s="11" t="n">
        <f aca="false">IF(AA7&lt;0,-AA7,0)</f>
        <v>224547.374889634</v>
      </c>
      <c r="AB12" s="11" t="n">
        <f aca="false">IF(AB7&lt;0,-AB7,0)</f>
        <v>51200.4903845019</v>
      </c>
      <c r="AC12" s="11" t="n">
        <f aca="false">IF(AC7&lt;0,-AC7,0)</f>
        <v>0</v>
      </c>
      <c r="AD12" s="11" t="n">
        <f aca="false">IF(AD7&lt;0,-AD7,0)</f>
        <v>303200.517674127</v>
      </c>
      <c r="AE12" s="11" t="n">
        <f aca="false">IF(AE7&lt;0,-AE7,0)</f>
        <v>0</v>
      </c>
      <c r="AF12" s="11" t="n">
        <f aca="false">IF(AF7&lt;0,-AF7,0)</f>
        <v>0</v>
      </c>
      <c r="AG12" s="11" t="n">
        <f aca="false">IF(AG7&lt;0,-AG7,0)</f>
        <v>0</v>
      </c>
      <c r="AH12" s="11" t="n">
        <f aca="false">IF(AH7&lt;0,-AH7,0)</f>
        <v>0</v>
      </c>
      <c r="AI12" s="11" t="n">
        <f aca="false">IF(AI7&lt;0,-AI7,0)</f>
        <v>0</v>
      </c>
      <c r="AJ12" s="11" t="n">
        <f aca="false">IF(AJ7&lt;0,-AJ7,0)</f>
        <v>0</v>
      </c>
      <c r="AK12" s="11" t="n">
        <f aca="false">IF(AK7&lt;0,-AK7,0)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6"/>
  </cols>
  <sheetData>
    <row r="1" customFormat="false" ht="17.35" hidden="false" customHeight="false" outlineLevel="0" collapsed="false">
      <c r="A1" s="1" t="s">
        <v>139</v>
      </c>
    </row>
    <row r="3" customFormat="false" ht="15" hidden="false" customHeight="false" outlineLevel="0" collapsed="false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5" customFormat="false" ht="15" hidden="false" customHeight="false" outlineLevel="0" collapsed="false">
      <c r="A5" s="18" t="s">
        <v>146</v>
      </c>
    </row>
    <row r="6" customFormat="false" ht="15" hidden="false" customHeight="false" outlineLevel="0" collapsed="false">
      <c r="A6" s="5" t="s">
        <v>147</v>
      </c>
      <c r="B6" s="19" t="n">
        <f aca="false">'P&amp;L — Base'!AL6</f>
        <v>10</v>
      </c>
      <c r="C6" s="19" t="n">
        <f aca="false">'P&amp;L — Base'!AM6</f>
        <v>25</v>
      </c>
      <c r="D6" s="19" t="n">
        <f aca="false">'P&amp;L — Base'!AN6</f>
        <v>60</v>
      </c>
      <c r="E6" s="19" t="n">
        <f aca="false">'P&amp;L — Base'!AO6</f>
        <v>120</v>
      </c>
      <c r="F6" s="19" t="n">
        <f aca="false">'P&amp;L — Base'!AP6</f>
        <v>200</v>
      </c>
    </row>
    <row r="7" customFormat="false" ht="15" hidden="false" customHeight="false" outlineLevel="0" collapsed="false">
      <c r="A7" s="5" t="s">
        <v>117</v>
      </c>
      <c r="B7" s="11" t="n">
        <f aca="false">'P&amp;L — Base'!AL12</f>
        <v>332515.731251484</v>
      </c>
      <c r="C7" s="11" t="n">
        <f aca="false">'P&amp;L — Base'!AM12</f>
        <v>1384292.8364257</v>
      </c>
      <c r="D7" s="11" t="n">
        <f aca="false">'P&amp;L — Base'!AN12</f>
        <v>4278629.85530521</v>
      </c>
      <c r="E7" s="11" t="n">
        <f aca="false">'P&amp;L — Base'!AO12</f>
        <v>9866604.68947894</v>
      </c>
      <c r="F7" s="11" t="n">
        <f aca="false">'P&amp;L — Base'!AP12</f>
        <v>20218060.8187965</v>
      </c>
    </row>
    <row r="8" customFormat="false" ht="15" hidden="false" customHeight="false" outlineLevel="0" collapsed="false">
      <c r="A8" s="5" t="s">
        <v>120</v>
      </c>
      <c r="B8" s="11" t="n">
        <f aca="false">'P&amp;L — Base'!AL16</f>
        <v>216135.225313465</v>
      </c>
      <c r="C8" s="11" t="n">
        <f aca="false">'P&amp;L — Base'!AM16</f>
        <v>969004.985497987</v>
      </c>
      <c r="D8" s="11" t="n">
        <f aca="false">'P&amp;L — Base'!AN16</f>
        <v>3080613.49581975</v>
      </c>
      <c r="E8" s="11" t="n">
        <f aca="false">'P&amp;L — Base'!AO16</f>
        <v>7399953.5171092</v>
      </c>
      <c r="F8" s="11" t="n">
        <f aca="false">'P&amp;L — Base'!AP16</f>
        <v>15770087.4386613</v>
      </c>
    </row>
    <row r="9" customFormat="false" ht="15" hidden="false" customHeight="false" outlineLevel="0" collapsed="false">
      <c r="A9" s="5" t="s">
        <v>121</v>
      </c>
      <c r="B9" s="20" t="n">
        <f aca="false">'P&amp;L — Base'!AL17</f>
        <v>0.65</v>
      </c>
      <c r="C9" s="20" t="n">
        <f aca="false">'P&amp;L — Base'!AM17</f>
        <v>0.7</v>
      </c>
      <c r="D9" s="20" t="n">
        <f aca="false">'P&amp;L — Base'!AN17</f>
        <v>0.72</v>
      </c>
      <c r="E9" s="20" t="n">
        <f aca="false">'P&amp;L — Base'!AO17</f>
        <v>0.75</v>
      </c>
      <c r="F9" s="20" t="n">
        <f aca="false">'P&amp;L — Base'!AP17</f>
        <v>0.78</v>
      </c>
    </row>
    <row r="10" customFormat="false" ht="15" hidden="false" customHeight="false" outlineLevel="0" collapsed="false">
      <c r="A10" s="5" t="s">
        <v>129</v>
      </c>
      <c r="B10" s="11" t="n">
        <f aca="false">'P&amp;L — Base'!AL27</f>
        <v>-608864.774686535</v>
      </c>
      <c r="C10" s="11" t="n">
        <f aca="false">'P&amp;L — Base'!AM27</f>
        <v>-1052995.01450201</v>
      </c>
      <c r="D10" s="11" t="n">
        <f aca="false">'P&amp;L — Base'!AN27</f>
        <v>-513386.504180249</v>
      </c>
      <c r="E10" s="11" t="n">
        <f aca="false">'P&amp;L — Base'!AO27</f>
        <v>1039953.5171092</v>
      </c>
      <c r="F10" s="11" t="n">
        <f aca="false">'P&amp;L — Base'!AP27</f>
        <v>5762087.43866126</v>
      </c>
    </row>
    <row r="11" customFormat="false" ht="15" hidden="false" customHeight="false" outlineLevel="0" collapsed="false">
      <c r="A11" s="5" t="s">
        <v>130</v>
      </c>
      <c r="B11" s="20" t="n">
        <f aca="false">'P&amp;L — Base'!AL28</f>
        <v>-1.83108562231014</v>
      </c>
      <c r="C11" s="20" t="n">
        <f aca="false">'P&amp;L — Base'!AM28</f>
        <v>-0.760673599395986</v>
      </c>
      <c r="D11" s="20" t="n">
        <f aca="false">'P&amp;L — Base'!AN28</f>
        <v>-0.119988529398888</v>
      </c>
      <c r="E11" s="20" t="n">
        <f aca="false">'P&amp;L — Base'!AO28</f>
        <v>0.105401356377249</v>
      </c>
      <c r="F11" s="20" t="n">
        <f aca="false">'P&amp;L — Base'!AP28</f>
        <v>0.284997037564766</v>
      </c>
    </row>
    <row r="13" customFormat="false" ht="15" hidden="false" customHeight="false" outlineLevel="0" collapsed="false">
      <c r="A13" s="18" t="s">
        <v>148</v>
      </c>
    </row>
    <row r="14" customFormat="false" ht="15" hidden="false" customHeight="false" outlineLevel="0" collapsed="false">
      <c r="A14" s="5" t="s">
        <v>147</v>
      </c>
      <c r="B14" s="19" t="n">
        <f aca="false">'P&amp;L — Conservative'!AL6</f>
        <v>6</v>
      </c>
      <c r="C14" s="19" t="n">
        <f aca="false">'P&amp;L — Conservative'!AM6</f>
        <v>20</v>
      </c>
      <c r="D14" s="19" t="n">
        <f aca="false">'P&amp;L — Conservative'!AN6</f>
        <v>50</v>
      </c>
      <c r="E14" s="19" t="n">
        <f aca="false">'P&amp;L — Conservative'!AO6</f>
        <v>100</v>
      </c>
      <c r="F14" s="19" t="n">
        <f aca="false">'P&amp;L — Conservative'!AP6</f>
        <v>150</v>
      </c>
    </row>
    <row r="15" customFormat="false" ht="15" hidden="false" customHeight="false" outlineLevel="0" collapsed="false">
      <c r="A15" s="5" t="s">
        <v>117</v>
      </c>
      <c r="B15" s="11" t="n">
        <f aca="false">'P&amp;L — Conservative'!AL12</f>
        <v>140707.59784347</v>
      </c>
      <c r="C15" s="11" t="n">
        <f aca="false">'P&amp;L — Conservative'!AM12</f>
        <v>694610.912015927</v>
      </c>
      <c r="D15" s="11" t="n">
        <f aca="false">'P&amp;L — Conservative'!AN12</f>
        <v>2368050.8867963</v>
      </c>
      <c r="E15" s="11" t="n">
        <f aca="false">'P&amp;L — Conservative'!AO12</f>
        <v>5497640.51567003</v>
      </c>
      <c r="F15" s="11" t="n">
        <f aca="false">'P&amp;L — Conservative'!AP12</f>
        <v>10408611.0676235</v>
      </c>
    </row>
    <row r="16" customFormat="false" ht="15" hidden="false" customHeight="false" outlineLevel="0" collapsed="false">
      <c r="A16" s="5" t="s">
        <v>120</v>
      </c>
      <c r="B16" s="11" t="n">
        <f aca="false">'P&amp;L — Conservative'!AL16</f>
        <v>91459.9385982557</v>
      </c>
      <c r="C16" s="11" t="n">
        <f aca="false">'P&amp;L — Conservative'!AM16</f>
        <v>486227.638411149</v>
      </c>
      <c r="D16" s="11" t="n">
        <f aca="false">'P&amp;L — Conservative'!AN16</f>
        <v>1704996.63849334</v>
      </c>
      <c r="E16" s="11" t="n">
        <f aca="false">'P&amp;L — Conservative'!AO16</f>
        <v>4123230.38675252</v>
      </c>
      <c r="F16" s="11" t="n">
        <f aca="false">'P&amp;L — Conservative'!AP16</f>
        <v>8118716.63274635</v>
      </c>
    </row>
    <row r="17" customFormat="false" ht="15" hidden="false" customHeight="false" outlineLevel="0" collapsed="false">
      <c r="A17" s="5" t="s">
        <v>121</v>
      </c>
      <c r="B17" s="20" t="n">
        <f aca="false">'P&amp;L — Conservative'!AL17</f>
        <v>0.65</v>
      </c>
      <c r="C17" s="20" t="n">
        <f aca="false">'P&amp;L — Conservative'!AM17</f>
        <v>0.7</v>
      </c>
      <c r="D17" s="20" t="n">
        <f aca="false">'P&amp;L — Conservative'!AN17</f>
        <v>0.72</v>
      </c>
      <c r="E17" s="20" t="n">
        <f aca="false">'P&amp;L — Conservative'!AO17</f>
        <v>0.75</v>
      </c>
      <c r="F17" s="20" t="n">
        <f aca="false">'P&amp;L — Conservative'!AP17</f>
        <v>0.78</v>
      </c>
    </row>
    <row r="18" customFormat="false" ht="15" hidden="false" customHeight="false" outlineLevel="0" collapsed="false">
      <c r="A18" s="5" t="s">
        <v>129</v>
      </c>
      <c r="B18" s="11" t="n">
        <f aca="false">'P&amp;L — Conservative'!AL27</f>
        <v>-733540.061401744</v>
      </c>
      <c r="C18" s="11" t="n">
        <f aca="false">'P&amp;L — Conservative'!AM27</f>
        <v>-1535772.36158885</v>
      </c>
      <c r="D18" s="11" t="n">
        <f aca="false">'P&amp;L — Conservative'!AN27</f>
        <v>-1889003.36150666</v>
      </c>
      <c r="E18" s="11" t="n">
        <f aca="false">'P&amp;L — Conservative'!AO27</f>
        <v>-2236769.61324748</v>
      </c>
      <c r="F18" s="11" t="n">
        <f aca="false">'P&amp;L — Conservative'!AP27</f>
        <v>-1889283.36725365</v>
      </c>
    </row>
    <row r="19" customFormat="false" ht="15" hidden="false" customHeight="false" outlineLevel="0" collapsed="false">
      <c r="A19" s="5" t="s">
        <v>130</v>
      </c>
      <c r="B19" s="20" t="n">
        <f aca="false">'P&amp;L — Conservative'!AL28</f>
        <v>-5.21322282978471</v>
      </c>
      <c r="C19" s="20" t="n">
        <f aca="false">'P&amp;L — Conservative'!AM28</f>
        <v>-2.21098219884233</v>
      </c>
      <c r="D19" s="20" t="n">
        <f aca="false">'P&amp;L — Conservative'!AN28</f>
        <v>-0.797703872006847</v>
      </c>
      <c r="E19" s="20" t="n">
        <f aca="false">'P&amp;L — Conservative'!AO28</f>
        <v>-0.406859925975875</v>
      </c>
      <c r="F19" s="20" t="n">
        <f aca="false">'P&amp;L — Conservative'!AP28</f>
        <v>-0.181511572963886</v>
      </c>
    </row>
    <row r="21" customFormat="false" ht="15" hidden="false" customHeight="false" outlineLevel="0" collapsed="false">
      <c r="A21" s="18" t="s">
        <v>149</v>
      </c>
    </row>
    <row r="22" customFormat="false" ht="15" hidden="false" customHeight="false" outlineLevel="0" collapsed="false">
      <c r="A22" s="5" t="s">
        <v>147</v>
      </c>
      <c r="B22" s="19" t="n">
        <f aca="false">'P&amp;L — Aggressive'!AL6</f>
        <v>15</v>
      </c>
      <c r="C22" s="19" t="n">
        <f aca="false">'P&amp;L — Aggressive'!AM6</f>
        <v>40</v>
      </c>
      <c r="D22" s="19" t="n">
        <f aca="false">'P&amp;L — Aggressive'!AN6</f>
        <v>100</v>
      </c>
      <c r="E22" s="19" t="n">
        <f aca="false">'P&amp;L — Aggressive'!AO6</f>
        <v>200</v>
      </c>
      <c r="F22" s="19" t="n">
        <f aca="false">'P&amp;L — Aggressive'!AP6</f>
        <v>350</v>
      </c>
    </row>
    <row r="23" customFormat="false" ht="15" hidden="false" customHeight="false" outlineLevel="0" collapsed="false">
      <c r="A23" s="5" t="s">
        <v>117</v>
      </c>
      <c r="B23" s="11" t="n">
        <f aca="false">'P&amp;L — Aggressive'!AL12</f>
        <v>880030.978461816</v>
      </c>
      <c r="C23" s="11" t="n">
        <f aca="false">'P&amp;L — Aggressive'!AM12</f>
        <v>4723834.28465268</v>
      </c>
      <c r="D23" s="11" t="n">
        <f aca="false">'P&amp;L — Aggressive'!AN12</f>
        <v>17256020.5978317</v>
      </c>
      <c r="E23" s="11" t="n">
        <f aca="false">'P&amp;L — Aggressive'!AO12</f>
        <v>43878710.4355415</v>
      </c>
      <c r="F23" s="11" t="n">
        <f aca="false">'P&amp;L — Aggressive'!AP12</f>
        <v>101395278.087754</v>
      </c>
    </row>
    <row r="24" customFormat="false" ht="15" hidden="false" customHeight="false" outlineLevel="0" collapsed="false">
      <c r="A24" s="5" t="s">
        <v>120</v>
      </c>
      <c r="B24" s="11" t="n">
        <f aca="false">'P&amp;L — Aggressive'!AL16</f>
        <v>616021.684923271</v>
      </c>
      <c r="C24" s="11" t="n">
        <f aca="false">'P&amp;L — Aggressive'!AM16</f>
        <v>3542875.71348951</v>
      </c>
      <c r="D24" s="11" t="n">
        <f aca="false">'P&amp;L — Aggressive'!AN16</f>
        <v>13287135.8603304</v>
      </c>
      <c r="E24" s="11" t="n">
        <f aca="false">'P&amp;L — Aggressive'!AO16</f>
        <v>35102968.3484332</v>
      </c>
      <c r="F24" s="11" t="n">
        <f aca="false">'P&amp;L — Aggressive'!AP16</f>
        <v>83144128.0319584</v>
      </c>
    </row>
    <row r="25" customFormat="false" ht="15" hidden="false" customHeight="false" outlineLevel="0" collapsed="false">
      <c r="A25" s="5" t="s">
        <v>121</v>
      </c>
      <c r="B25" s="20" t="n">
        <f aca="false">'P&amp;L — Aggressive'!AL17</f>
        <v>0.7</v>
      </c>
      <c r="C25" s="20" t="n">
        <f aca="false">'P&amp;L — Aggressive'!AM17</f>
        <v>0.75</v>
      </c>
      <c r="D25" s="20" t="n">
        <f aca="false">'P&amp;L — Aggressive'!AN17</f>
        <v>0.77</v>
      </c>
      <c r="E25" s="20" t="n">
        <f aca="false">'P&amp;L — Aggressive'!AO17</f>
        <v>0.8</v>
      </c>
      <c r="F25" s="20" t="n">
        <f aca="false">'P&amp;L — Aggressive'!AP17</f>
        <v>0.82</v>
      </c>
    </row>
    <row r="26" customFormat="false" ht="15" hidden="false" customHeight="false" outlineLevel="0" collapsed="false">
      <c r="A26" s="5" t="s">
        <v>129</v>
      </c>
      <c r="B26" s="11" t="n">
        <f aca="false">'P&amp;L — Aggressive'!AL27</f>
        <v>-373978.315076729</v>
      </c>
      <c r="C26" s="11" t="n">
        <f aca="false">'P&amp;L — Aggressive'!AM27</f>
        <v>1118875.71348951</v>
      </c>
      <c r="D26" s="11" t="n">
        <f aca="false">'P&amp;L — Aggressive'!AN27</f>
        <v>8967135.86033044</v>
      </c>
      <c r="E26" s="11" t="n">
        <f aca="false">'P&amp;L — Aggressive'!AO27</f>
        <v>27482968.3484332</v>
      </c>
      <c r="F26" s="11" t="n">
        <f aca="false">'P&amp;L — Aggressive'!AP27</f>
        <v>71144128.0319584</v>
      </c>
    </row>
    <row r="27" customFormat="false" ht="15" hidden="false" customHeight="false" outlineLevel="0" collapsed="false">
      <c r="A27" s="5" t="s">
        <v>130</v>
      </c>
      <c r="B27" s="20" t="n">
        <f aca="false">'P&amp;L — Aggressive'!AL28</f>
        <v>-0.424960398246885</v>
      </c>
      <c r="C27" s="20" t="n">
        <f aca="false">'P&amp;L — Aggressive'!AM28</f>
        <v>0.236857528454086</v>
      </c>
      <c r="D27" s="20" t="n">
        <f aca="false">'P&amp;L — Aggressive'!AN28</f>
        <v>0.519652593684153</v>
      </c>
      <c r="E27" s="20" t="n">
        <f aca="false">'P&amp;L — Aggressive'!AO28</f>
        <v>0.626339472505832</v>
      </c>
      <c r="F27" s="20" t="n">
        <f aca="false">'P&amp;L — Aggressive'!AP28</f>
        <v>0.701651293567986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6" min="2" style="0" width="16"/>
  </cols>
  <sheetData>
    <row r="1" customFormat="false" ht="17.35" hidden="false" customHeight="false" outlineLevel="0" collapsed="false">
      <c r="A1" s="1" t="s">
        <v>150</v>
      </c>
    </row>
    <row r="3" customFormat="false" ht="15" hidden="false" customHeight="false" outlineLevel="0" collapsed="false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5" customFormat="false" ht="15" hidden="false" customHeight="false" outlineLevel="0" collapsed="false">
      <c r="A5" s="3" t="s">
        <v>151</v>
      </c>
    </row>
    <row r="6" customFormat="false" ht="15" hidden="false" customHeight="false" outlineLevel="0" collapsed="false">
      <c r="A6" s="5" t="s">
        <v>152</v>
      </c>
      <c r="B6" s="11" t="n">
        <f aca="false">'P&amp;L — Base'!AL8</f>
        <v>24630794.9075174</v>
      </c>
      <c r="C6" s="11" t="n">
        <f aca="false">'P&amp;L — Base'!AM8</f>
        <v>109864510.827436</v>
      </c>
      <c r="D6" s="11" t="n">
        <f aca="false">'P&amp;L — Base'!AN8</f>
        <v>359548727.336572</v>
      </c>
      <c r="E6" s="11" t="n">
        <f aca="false">'P&amp;L — Base'!AO8</f>
        <v>939676637.093232</v>
      </c>
      <c r="F6" s="11" t="n">
        <f aca="false">'P&amp;L — Base'!AP8</f>
        <v>2063067430.48944</v>
      </c>
    </row>
    <row r="7" customFormat="false" ht="15" hidden="false" customHeight="false" outlineLevel="0" collapsed="false">
      <c r="A7" s="5" t="s">
        <v>153</v>
      </c>
      <c r="B7" s="11" t="n">
        <f aca="false">'P&amp;L — Base'!AL12</f>
        <v>332515.731251484</v>
      </c>
      <c r="C7" s="11" t="n">
        <f aca="false">'P&amp;L — Base'!AM12</f>
        <v>1384292.8364257</v>
      </c>
      <c r="D7" s="11" t="n">
        <f aca="false">'P&amp;L — Base'!AN12</f>
        <v>4278629.85530521</v>
      </c>
      <c r="E7" s="11" t="n">
        <f aca="false">'P&amp;L — Base'!AO12</f>
        <v>9866604.68947894</v>
      </c>
      <c r="F7" s="11" t="n">
        <f aca="false">'P&amp;L — Base'!AP12</f>
        <v>20218060.8187965</v>
      </c>
    </row>
    <row r="8" customFormat="false" ht="15" hidden="false" customHeight="false" outlineLevel="0" collapsed="false">
      <c r="A8" s="5" t="s">
        <v>120</v>
      </c>
      <c r="B8" s="11" t="n">
        <f aca="false">'P&amp;L — Base'!AL16</f>
        <v>216135.225313465</v>
      </c>
      <c r="C8" s="11" t="n">
        <f aca="false">'P&amp;L — Base'!AM16</f>
        <v>969004.985497987</v>
      </c>
      <c r="D8" s="11" t="n">
        <f aca="false">'P&amp;L — Base'!AN16</f>
        <v>3080613.49581975</v>
      </c>
      <c r="E8" s="11" t="n">
        <f aca="false">'P&amp;L — Base'!AO16</f>
        <v>7399953.5171092</v>
      </c>
      <c r="F8" s="11" t="n">
        <f aca="false">'P&amp;L — Base'!AP16</f>
        <v>15770087.4386613</v>
      </c>
    </row>
    <row r="9" customFormat="false" ht="15" hidden="false" customHeight="false" outlineLevel="0" collapsed="false">
      <c r="A9" s="5" t="s">
        <v>121</v>
      </c>
      <c r="B9" s="20" t="n">
        <f aca="false">'P&amp;L — Base'!AL17</f>
        <v>0.65</v>
      </c>
      <c r="C9" s="20" t="n">
        <f aca="false">'P&amp;L — Base'!AM17</f>
        <v>0.7</v>
      </c>
      <c r="D9" s="20" t="n">
        <f aca="false">'P&amp;L — Base'!AN17</f>
        <v>0.72</v>
      </c>
      <c r="E9" s="20" t="n">
        <f aca="false">'P&amp;L — Base'!AO17</f>
        <v>0.75</v>
      </c>
      <c r="F9" s="20" t="n">
        <f aca="false">'P&amp;L — Base'!AP17</f>
        <v>0.78</v>
      </c>
    </row>
    <row r="10" customFormat="false" ht="15" hidden="false" customHeight="false" outlineLevel="0" collapsed="false">
      <c r="A10" s="5" t="s">
        <v>129</v>
      </c>
      <c r="B10" s="11" t="n">
        <f aca="false">'P&amp;L — Base'!AL27</f>
        <v>-608864.774686535</v>
      </c>
      <c r="C10" s="11" t="n">
        <f aca="false">'P&amp;L — Base'!AM27</f>
        <v>-1052995.01450201</v>
      </c>
      <c r="D10" s="11" t="n">
        <f aca="false">'P&amp;L — Base'!AN27</f>
        <v>-513386.504180249</v>
      </c>
      <c r="E10" s="11" t="n">
        <f aca="false">'P&amp;L — Base'!AO27</f>
        <v>1039953.5171092</v>
      </c>
      <c r="F10" s="11" t="n">
        <f aca="false">'P&amp;L — Base'!AP27</f>
        <v>5762087.43866126</v>
      </c>
    </row>
    <row r="11" customFormat="false" ht="15" hidden="false" customHeight="false" outlineLevel="0" collapsed="false">
      <c r="A11" s="5" t="s">
        <v>130</v>
      </c>
      <c r="B11" s="20" t="n">
        <f aca="false">'P&amp;L — Base'!AL28</f>
        <v>-1.83108562231014</v>
      </c>
      <c r="C11" s="20" t="n">
        <f aca="false">'P&amp;L — Base'!AM28</f>
        <v>-0.760673599395986</v>
      </c>
      <c r="D11" s="20" t="n">
        <f aca="false">'P&amp;L — Base'!AN28</f>
        <v>-0.119988529398888</v>
      </c>
      <c r="E11" s="20" t="n">
        <f aca="false">'P&amp;L — Base'!AO28</f>
        <v>0.105401356377249</v>
      </c>
      <c r="F11" s="20" t="n">
        <f aca="false">'P&amp;L — Base'!AP28</f>
        <v>0.284997037564766</v>
      </c>
    </row>
    <row r="13" customFormat="false" ht="15" hidden="false" customHeight="false" outlineLevel="0" collapsed="false">
      <c r="A13" s="3" t="s">
        <v>154</v>
      </c>
    </row>
    <row r="14" customFormat="false" ht="15" hidden="false" customHeight="false" outlineLevel="0" collapsed="false">
      <c r="A14" s="5" t="s">
        <v>147</v>
      </c>
      <c r="B14" s="9" t="n">
        <f aca="false">'P&amp;L — Base'!AL6</f>
        <v>10</v>
      </c>
      <c r="C14" s="9" t="n">
        <f aca="false">'P&amp;L — Base'!AM6</f>
        <v>25</v>
      </c>
      <c r="D14" s="9" t="n">
        <f aca="false">'P&amp;L — Base'!AN6</f>
        <v>60</v>
      </c>
      <c r="E14" s="9" t="n">
        <f aca="false">'P&amp;L — Base'!AO6</f>
        <v>120</v>
      </c>
      <c r="F14" s="9" t="n">
        <f aca="false">'P&amp;L — Base'!AP6</f>
        <v>200</v>
      </c>
    </row>
    <row r="15" customFormat="false" ht="15" hidden="false" customHeight="false" outlineLevel="0" collapsed="false">
      <c r="A15" s="5" t="s">
        <v>155</v>
      </c>
      <c r="B15" s="21" t="n">
        <f aca="false">B14</f>
        <v>10</v>
      </c>
      <c r="C15" s="21" t="n">
        <f aca="false">C14-B14</f>
        <v>15</v>
      </c>
      <c r="D15" s="21" t="n">
        <f aca="false">D14-C14</f>
        <v>35</v>
      </c>
      <c r="E15" s="21" t="n">
        <f aca="false">E14-D14</f>
        <v>60</v>
      </c>
      <c r="F15" s="21" t="n">
        <f aca="false">F14-E14</f>
        <v>80</v>
      </c>
    </row>
    <row r="16" customFormat="false" ht="15" hidden="false" customHeight="false" outlineLevel="0" collapsed="false">
      <c r="A16" s="5" t="s">
        <v>156</v>
      </c>
      <c r="B16" s="22" t="n">
        <f aca="false">IF(B14=0,0,B7/B14)</f>
        <v>33251.5731251484</v>
      </c>
      <c r="C16" s="22" t="n">
        <f aca="false">IF(C14=0,0,C7/C14)</f>
        <v>55371.7134570278</v>
      </c>
      <c r="D16" s="22" t="n">
        <f aca="false">IF(D14=0,0,D7/D14)</f>
        <v>71310.4975884202</v>
      </c>
      <c r="E16" s="22" t="n">
        <f aca="false">IF(E14=0,0,E7/E14)</f>
        <v>82221.7057456578</v>
      </c>
      <c r="F16" s="22" t="n">
        <f aca="false">IF(F14=0,0,F7/F14)</f>
        <v>101090.304093982</v>
      </c>
    </row>
    <row r="17" customFormat="false" ht="15" hidden="false" customHeight="false" outlineLevel="0" collapsed="false">
      <c r="A17" s="5" t="s">
        <v>157</v>
      </c>
      <c r="B17" s="22" t="n">
        <f aca="false">B16/12</f>
        <v>2770.9644270957</v>
      </c>
      <c r="C17" s="22" t="n">
        <f aca="false">C16/12</f>
        <v>4614.30945475232</v>
      </c>
      <c r="D17" s="22" t="n">
        <f aca="false">D16/12</f>
        <v>5942.54146570168</v>
      </c>
      <c r="E17" s="22" t="n">
        <f aca="false">E16/12</f>
        <v>6851.80881213815</v>
      </c>
      <c r="F17" s="22" t="n">
        <f aca="false">F16/12</f>
        <v>8424.19200783187</v>
      </c>
    </row>
    <row r="19" customFormat="false" ht="15" hidden="false" customHeight="false" outlineLevel="0" collapsed="false">
      <c r="A19" s="3" t="s">
        <v>158</v>
      </c>
    </row>
    <row r="20" customFormat="false" ht="15" hidden="false" customHeight="false" outlineLevel="0" collapsed="false">
      <c r="A20" s="5" t="s">
        <v>159</v>
      </c>
      <c r="B20" s="23" t="n">
        <f aca="false">Assumptions!C62</f>
        <v>2000</v>
      </c>
      <c r="C20" s="23" t="n">
        <f aca="false">Assumptions!C63</f>
        <v>4000</v>
      </c>
      <c r="D20" s="23" t="n">
        <f aca="false">Assumptions!C64</f>
        <v>3500</v>
      </c>
      <c r="E20" s="23" t="n">
        <f aca="false">Assumptions!C65</f>
        <v>3000</v>
      </c>
      <c r="F20" s="23" t="n">
        <f aca="false">Assumptions!C66</f>
        <v>2500</v>
      </c>
    </row>
    <row r="21" customFormat="false" ht="15" hidden="false" customHeight="false" outlineLevel="0" collapsed="false">
      <c r="A21" s="5" t="s">
        <v>160</v>
      </c>
      <c r="B21" s="22" t="n">
        <f aca="false">B15*B20</f>
        <v>20000</v>
      </c>
      <c r="C21" s="22" t="n">
        <f aca="false">C15*C20</f>
        <v>60000</v>
      </c>
      <c r="D21" s="22" t="n">
        <f aca="false">D15*D20</f>
        <v>122500</v>
      </c>
      <c r="E21" s="22" t="n">
        <f aca="false">E15*E20</f>
        <v>180000</v>
      </c>
      <c r="F21" s="22" t="n">
        <f aca="false">F15*F20</f>
        <v>200000</v>
      </c>
    </row>
    <row r="22" customFormat="false" ht="15" hidden="false" customHeight="false" outlineLevel="0" collapsed="false">
      <c r="A22" s="5" t="s">
        <v>161</v>
      </c>
      <c r="B22" s="22" t="n">
        <f aca="false">B16*5*(1-Assumptions!C67)</f>
        <v>157944.972344455</v>
      </c>
      <c r="C22" s="22" t="n">
        <f aca="false">C16*5*(1-Assumptions!C67)</f>
        <v>263015.638920882</v>
      </c>
      <c r="D22" s="22" t="n">
        <f aca="false">D16*5*(1-Assumptions!C67)</f>
        <v>338724.863544996</v>
      </c>
      <c r="E22" s="22" t="n">
        <f aca="false">E16*5*(1-Assumptions!C67)</f>
        <v>390553.102291875</v>
      </c>
      <c r="F22" s="22" t="n">
        <f aca="false">F16*5*(1-Assumptions!C67)</f>
        <v>480178.944446416</v>
      </c>
    </row>
    <row r="23" customFormat="false" ht="15" hidden="false" customHeight="false" outlineLevel="0" collapsed="false">
      <c r="A23" s="17" t="s">
        <v>162</v>
      </c>
      <c r="B23" s="24" t="n">
        <f aca="false">IF(B20=0,0,B22/B20)</f>
        <v>78.9724861722275</v>
      </c>
      <c r="C23" s="24" t="n">
        <f aca="false">IF(C20=0,0,C22/C20)</f>
        <v>65.7539097302205</v>
      </c>
      <c r="D23" s="24" t="n">
        <f aca="false">IF(D20=0,0,D22/D20)</f>
        <v>96.7785324414273</v>
      </c>
      <c r="E23" s="24" t="n">
        <f aca="false">IF(E20=0,0,E22/E20)</f>
        <v>130.184367430625</v>
      </c>
      <c r="F23" s="24" t="n">
        <f aca="false">IF(F20=0,0,F22/F20)</f>
        <v>192.071577778567</v>
      </c>
    </row>
    <row r="24" customFormat="false" ht="15" hidden="false" customHeight="false" outlineLevel="0" collapsed="false">
      <c r="A24" s="5" t="s">
        <v>163</v>
      </c>
      <c r="B24" s="25" t="n">
        <f aca="false">IF(B17=0,0,B20/B17)</f>
        <v>0.721770362853859</v>
      </c>
      <c r="C24" s="25" t="n">
        <f aca="false">IF(C17=0,0,C20/C17)</f>
        <v>0.866868604982781</v>
      </c>
      <c r="D24" s="25" t="n">
        <f aca="false">IF(D17=0,0,D20/D17)</f>
        <v>0.588973593234613</v>
      </c>
      <c r="E24" s="25" t="n">
        <f aca="false">IF(E17=0,0,E20/E17)</f>
        <v>0.437840588121114</v>
      </c>
      <c r="F24" s="25" t="n">
        <f aca="false">IF(F17=0,0,F20/F17)</f>
        <v>0.296764365968366</v>
      </c>
    </row>
    <row r="25" customFormat="false" ht="15" hidden="false" customHeight="false" outlineLevel="0" collapsed="false">
      <c r="A25" s="5" t="s">
        <v>65</v>
      </c>
      <c r="B25" s="15" t="n">
        <f aca="false">Assumptions!C67</f>
        <v>0.05</v>
      </c>
      <c r="C25" s="15" t="n">
        <f aca="false">Assumptions!C67</f>
        <v>0.05</v>
      </c>
      <c r="D25" s="15" t="n">
        <f aca="false">Assumptions!C67</f>
        <v>0.05</v>
      </c>
      <c r="E25" s="15" t="n">
        <f aca="false">Assumptions!C67</f>
        <v>0.05</v>
      </c>
      <c r="F25" s="15" t="n">
        <f aca="false">Assumptions!C67</f>
        <v>0.05</v>
      </c>
    </row>
    <row r="26" customFormat="false" ht="15" hidden="false" customHeight="false" outlineLevel="0" collapsed="false">
      <c r="A26" s="5" t="s">
        <v>66</v>
      </c>
      <c r="B26" s="15" t="n">
        <f aca="false">Assumptions!C68</f>
        <v>1.25</v>
      </c>
      <c r="C26" s="15" t="n">
        <f aca="false">Assumptions!C68</f>
        <v>1.25</v>
      </c>
      <c r="D26" s="15" t="n">
        <f aca="false">Assumptions!C68</f>
        <v>1.25</v>
      </c>
      <c r="E26" s="15" t="n">
        <f aca="false">Assumptions!C68</f>
        <v>1.25</v>
      </c>
      <c r="F26" s="15" t="n">
        <f aca="false">Assumptions!C68</f>
        <v>1.25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  <col collapsed="false" customWidth="true" hidden="false" outlineLevel="0" max="7" min="7" style="0" width="4"/>
    <col collapsed="false" customWidth="true" hidden="false" outlineLevel="0" max="8" min="8" style="0" width="22"/>
    <col collapsed="false" customWidth="true" hidden="false" outlineLevel="0" max="13" min="9" style="0" width="16"/>
  </cols>
  <sheetData>
    <row r="1" customFormat="false" ht="17.35" hidden="false" customHeight="false" outlineLevel="0" collapsed="false">
      <c r="A1" s="1" t="s">
        <v>164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165</v>
      </c>
    </row>
    <row r="5" customFormat="false" ht="15" hidden="false" customHeight="false" outlineLevel="0" collapsed="false">
      <c r="A5" s="26" t="s">
        <v>166</v>
      </c>
      <c r="B5" s="27" t="s">
        <v>167</v>
      </c>
      <c r="C5" s="27" t="s">
        <v>168</v>
      </c>
      <c r="D5" s="27" t="s">
        <v>169</v>
      </c>
      <c r="E5" s="27" t="s">
        <v>170</v>
      </c>
      <c r="F5" s="27" t="s">
        <v>171</v>
      </c>
    </row>
    <row r="6" customFormat="false" ht="15" hidden="false" customHeight="false" outlineLevel="0" collapsed="false">
      <c r="A6" s="28" t="n">
        <v>30</v>
      </c>
      <c r="B6" s="29" t="n">
        <f aca="false">30*200000*12*Assumptions!C18*(1+Assumptions!C21+Assumptions!C22)</f>
        <v>856800</v>
      </c>
      <c r="C6" s="29" t="n">
        <f aca="false">30*250000*12*Assumptions!C18*(1+Assumptions!C21+Assumptions!C22)</f>
        <v>1071000</v>
      </c>
      <c r="D6" s="29" t="n">
        <f aca="false">30*300000*12*Assumptions!C18*(1+Assumptions!C21+Assumptions!C22)</f>
        <v>1285200</v>
      </c>
      <c r="E6" s="29" t="n">
        <f aca="false">30*350000*12*Assumptions!C18*(1+Assumptions!C21+Assumptions!C22)</f>
        <v>1499400</v>
      </c>
      <c r="F6" s="29" t="n">
        <f aca="false">30*400000*12*Assumptions!C18*(1+Assumptions!C21+Assumptions!C22)</f>
        <v>1713600</v>
      </c>
    </row>
    <row r="7" customFormat="false" ht="15" hidden="false" customHeight="false" outlineLevel="0" collapsed="false">
      <c r="A7" s="28" t="n">
        <v>40</v>
      </c>
      <c r="B7" s="29" t="n">
        <f aca="false">40*200000*12*Assumptions!C18*(1+Assumptions!C21+Assumptions!C22)</f>
        <v>1142400</v>
      </c>
      <c r="C7" s="29" t="n">
        <f aca="false">40*250000*12*Assumptions!C18*(1+Assumptions!C21+Assumptions!C22)</f>
        <v>1428000</v>
      </c>
      <c r="D7" s="29" t="n">
        <f aca="false">40*300000*12*Assumptions!C18*(1+Assumptions!C21+Assumptions!C22)</f>
        <v>1713600</v>
      </c>
      <c r="E7" s="29" t="n">
        <f aca="false">40*350000*12*Assumptions!C18*(1+Assumptions!C21+Assumptions!C22)</f>
        <v>1999200</v>
      </c>
      <c r="F7" s="29" t="n">
        <f aca="false">40*400000*12*Assumptions!C18*(1+Assumptions!C21+Assumptions!C22)</f>
        <v>2284800</v>
      </c>
    </row>
    <row r="8" customFormat="false" ht="15" hidden="false" customHeight="false" outlineLevel="0" collapsed="false">
      <c r="A8" s="28" t="n">
        <v>50</v>
      </c>
      <c r="B8" s="29" t="n">
        <f aca="false">50*200000*12*Assumptions!C18*(1+Assumptions!C21+Assumptions!C22)</f>
        <v>1428000</v>
      </c>
      <c r="C8" s="29" t="n">
        <f aca="false">50*250000*12*Assumptions!C18*(1+Assumptions!C21+Assumptions!C22)</f>
        <v>1785000</v>
      </c>
      <c r="D8" s="29" t="n">
        <f aca="false">50*300000*12*Assumptions!C18*(1+Assumptions!C21+Assumptions!C22)</f>
        <v>2142000</v>
      </c>
      <c r="E8" s="29" t="n">
        <f aca="false">50*350000*12*Assumptions!C18*(1+Assumptions!C21+Assumptions!C22)</f>
        <v>2499000</v>
      </c>
      <c r="F8" s="29" t="n">
        <f aca="false">50*400000*12*Assumptions!C18*(1+Assumptions!C21+Assumptions!C22)</f>
        <v>2856000</v>
      </c>
    </row>
    <row r="9" customFormat="false" ht="15" hidden="false" customHeight="false" outlineLevel="0" collapsed="false">
      <c r="A9" s="28" t="n">
        <v>60</v>
      </c>
      <c r="B9" s="29" t="n">
        <f aca="false">60*200000*12*Assumptions!C18*(1+Assumptions!C21+Assumptions!C22)</f>
        <v>1713600</v>
      </c>
      <c r="C9" s="29" t="n">
        <f aca="false">60*250000*12*Assumptions!C18*(1+Assumptions!C21+Assumptions!C22)</f>
        <v>2142000</v>
      </c>
      <c r="D9" s="30" t="n">
        <f aca="false">60*300000*12*Assumptions!C18*(1+Assumptions!C21+Assumptions!C22)</f>
        <v>2570400</v>
      </c>
      <c r="E9" s="29" t="n">
        <f aca="false">60*350000*12*Assumptions!C18*(1+Assumptions!C21+Assumptions!C22)</f>
        <v>2998800</v>
      </c>
      <c r="F9" s="29" t="n">
        <f aca="false">60*400000*12*Assumptions!C18*(1+Assumptions!C21+Assumptions!C22)</f>
        <v>3427200</v>
      </c>
    </row>
    <row r="10" customFormat="false" ht="15" hidden="false" customHeight="false" outlineLevel="0" collapsed="false">
      <c r="A10" s="28" t="n">
        <v>70</v>
      </c>
      <c r="B10" s="29" t="n">
        <f aca="false">70*200000*12*Assumptions!C18*(1+Assumptions!C21+Assumptions!C22)</f>
        <v>1999200</v>
      </c>
      <c r="C10" s="29" t="n">
        <f aca="false">70*250000*12*Assumptions!C18*(1+Assumptions!C21+Assumptions!C22)</f>
        <v>2499000</v>
      </c>
      <c r="D10" s="29" t="n">
        <f aca="false">70*300000*12*Assumptions!C18*(1+Assumptions!C21+Assumptions!C22)</f>
        <v>2998800</v>
      </c>
      <c r="E10" s="29" t="n">
        <f aca="false">70*350000*12*Assumptions!C18*(1+Assumptions!C21+Assumptions!C22)</f>
        <v>3498600</v>
      </c>
      <c r="F10" s="29" t="n">
        <f aca="false">70*400000*12*Assumptions!C18*(1+Assumptions!C21+Assumptions!C22)</f>
        <v>3998400</v>
      </c>
    </row>
    <row r="11" customFormat="false" ht="15" hidden="false" customHeight="false" outlineLevel="0" collapsed="false">
      <c r="A11" s="28" t="n">
        <v>80</v>
      </c>
      <c r="B11" s="29" t="n">
        <f aca="false">80*200000*12*Assumptions!C18*(1+Assumptions!C21+Assumptions!C22)</f>
        <v>2284800</v>
      </c>
      <c r="C11" s="29" t="n">
        <f aca="false">80*250000*12*Assumptions!C18*(1+Assumptions!C21+Assumptions!C22)</f>
        <v>2856000</v>
      </c>
      <c r="D11" s="29" t="n">
        <f aca="false">80*300000*12*Assumptions!C18*(1+Assumptions!C21+Assumptions!C22)</f>
        <v>3427200</v>
      </c>
      <c r="E11" s="29" t="n">
        <f aca="false">80*350000*12*Assumptions!C18*(1+Assumptions!C21+Assumptions!C22)</f>
        <v>3998400</v>
      </c>
      <c r="F11" s="29" t="n">
        <f aca="false">80*400000*12*Assumptions!C18*(1+Assumptions!C21+Assumptions!C22)</f>
        <v>4569600</v>
      </c>
    </row>
    <row r="14" customFormat="false" ht="15" hidden="false" customHeight="false" outlineLevel="0" collapsed="false">
      <c r="A14" s="3" t="s">
        <v>172</v>
      </c>
    </row>
    <row r="15" customFormat="false" ht="15" hidden="false" customHeight="false" outlineLevel="0" collapsed="false">
      <c r="A15" s="26" t="s">
        <v>173</v>
      </c>
      <c r="B15" s="27" t="s">
        <v>174</v>
      </c>
      <c r="C15" s="27" t="s">
        <v>175</v>
      </c>
      <c r="D15" s="27" t="s">
        <v>176</v>
      </c>
      <c r="E15" s="27" t="s">
        <v>177</v>
      </c>
      <c r="F15" s="27" t="s">
        <v>178</v>
      </c>
    </row>
    <row r="16" customFormat="false" ht="15" hidden="false" customHeight="false" outlineLevel="0" collapsed="false">
      <c r="A16" s="31" t="n">
        <v>0.007</v>
      </c>
      <c r="B16" s="29" t="n">
        <f aca="false">0.007*100000000*(1+Assumptions!C21+Assumptions!C22)</f>
        <v>980000</v>
      </c>
      <c r="C16" s="29" t="n">
        <f aca="false">0.007*150000000*(1+Assumptions!C21+Assumptions!C22)</f>
        <v>1470000</v>
      </c>
      <c r="D16" s="29" t="n">
        <f aca="false">0.007*200000000*(1+Assumptions!C21+Assumptions!C22)</f>
        <v>1960000</v>
      </c>
      <c r="E16" s="29" t="n">
        <f aca="false">0.007*250000000*(1+Assumptions!C21+Assumptions!C22)</f>
        <v>2450000</v>
      </c>
      <c r="F16" s="29" t="n">
        <f aca="false">0.007*300000000*(1+Assumptions!C21+Assumptions!C22)</f>
        <v>2940000</v>
      </c>
    </row>
    <row r="17" customFormat="false" ht="15" hidden="false" customHeight="false" outlineLevel="0" collapsed="false">
      <c r="A17" s="31" t="n">
        <v>0.0075</v>
      </c>
      <c r="B17" s="29" t="n">
        <f aca="false">0.0075*100000000*(1+Assumptions!C21+Assumptions!C22)</f>
        <v>1050000</v>
      </c>
      <c r="C17" s="29" t="n">
        <f aca="false">0.0075*150000000*(1+Assumptions!C21+Assumptions!C22)</f>
        <v>1575000</v>
      </c>
      <c r="D17" s="29" t="n">
        <f aca="false">0.0075*200000000*(1+Assumptions!C21+Assumptions!C22)</f>
        <v>2100000</v>
      </c>
      <c r="E17" s="29" t="n">
        <f aca="false">0.0075*250000000*(1+Assumptions!C21+Assumptions!C22)</f>
        <v>2625000</v>
      </c>
      <c r="F17" s="29" t="n">
        <f aca="false">0.0075*300000000*(1+Assumptions!C21+Assumptions!C22)</f>
        <v>3150000</v>
      </c>
    </row>
    <row r="18" customFormat="false" ht="15" hidden="false" customHeight="false" outlineLevel="0" collapsed="false">
      <c r="A18" s="31" t="n">
        <v>0.008</v>
      </c>
      <c r="B18" s="29" t="n">
        <f aca="false">0.008*100000000*(1+Assumptions!C21+Assumptions!C22)</f>
        <v>1120000</v>
      </c>
      <c r="C18" s="29" t="n">
        <f aca="false">0.008*150000000*(1+Assumptions!C21+Assumptions!C22)</f>
        <v>1680000</v>
      </c>
      <c r="D18" s="29" t="n">
        <f aca="false">0.008*200000000*(1+Assumptions!C21+Assumptions!C22)</f>
        <v>2240000</v>
      </c>
      <c r="E18" s="29" t="n">
        <f aca="false">0.008*250000000*(1+Assumptions!C21+Assumptions!C22)</f>
        <v>2800000</v>
      </c>
      <c r="F18" s="29" t="n">
        <f aca="false">0.008*300000000*(1+Assumptions!C21+Assumptions!C22)</f>
        <v>3360000</v>
      </c>
    </row>
    <row r="19" customFormat="false" ht="15" hidden="false" customHeight="false" outlineLevel="0" collapsed="false">
      <c r="A19" s="31" t="n">
        <v>0.0085</v>
      </c>
      <c r="B19" s="29" t="n">
        <f aca="false">0.0085*100000000*(1+Assumptions!C21+Assumptions!C22)</f>
        <v>1190000</v>
      </c>
      <c r="C19" s="29" t="n">
        <f aca="false">0.0085*150000000*(1+Assumptions!C21+Assumptions!C22)</f>
        <v>1785000</v>
      </c>
      <c r="D19" s="29" t="n">
        <f aca="false">0.0085*200000000*(1+Assumptions!C21+Assumptions!C22)</f>
        <v>2380000</v>
      </c>
      <c r="E19" s="30" t="n">
        <f aca="false">0.0085*250000000*(1+Assumptions!C21+Assumptions!C22)</f>
        <v>2975000</v>
      </c>
      <c r="F19" s="29" t="n">
        <f aca="false">0.0085*300000000*(1+Assumptions!C21+Assumptions!C22)</f>
        <v>3570000</v>
      </c>
    </row>
    <row r="20" customFormat="false" ht="15" hidden="false" customHeight="false" outlineLevel="0" collapsed="false">
      <c r="A20" s="31" t="n">
        <v>0.009</v>
      </c>
      <c r="B20" s="29" t="n">
        <f aca="false">0.009*100000000*(1+Assumptions!C21+Assumptions!C22)</f>
        <v>1260000</v>
      </c>
      <c r="C20" s="29" t="n">
        <f aca="false">0.009*150000000*(1+Assumptions!C21+Assumptions!C22)</f>
        <v>1890000</v>
      </c>
      <c r="D20" s="29" t="n">
        <f aca="false">0.009*200000000*(1+Assumptions!C21+Assumptions!C22)</f>
        <v>2520000</v>
      </c>
      <c r="E20" s="29" t="n">
        <f aca="false">0.009*250000000*(1+Assumptions!C21+Assumptions!C22)</f>
        <v>3150000</v>
      </c>
      <c r="F20" s="29" t="n">
        <f aca="false">0.009*300000000*(1+Assumptions!C21+Assumptions!C22)</f>
        <v>3780000</v>
      </c>
    </row>
    <row r="21" customFormat="false" ht="15" hidden="false" customHeight="false" outlineLevel="0" collapsed="false">
      <c r="A21" s="31" t="n">
        <v>0.0095</v>
      </c>
      <c r="B21" s="29" t="n">
        <f aca="false">0.0095*100000000*(1+Assumptions!C21+Assumptions!C22)</f>
        <v>1330000</v>
      </c>
      <c r="C21" s="29" t="n">
        <f aca="false">0.0095*150000000*(1+Assumptions!C21+Assumptions!C22)</f>
        <v>1995000</v>
      </c>
      <c r="D21" s="29" t="n">
        <f aca="false">0.0095*200000000*(1+Assumptions!C21+Assumptions!C22)</f>
        <v>2660000</v>
      </c>
      <c r="E21" s="29" t="n">
        <f aca="false">0.0095*250000000*(1+Assumptions!C21+Assumptions!C22)</f>
        <v>3325000</v>
      </c>
      <c r="F21" s="29" t="n">
        <f aca="false">0.0095*300000000*(1+Assumptions!C21+Assumptions!C22)</f>
        <v>3990000</v>
      </c>
    </row>
    <row r="24" customFormat="false" ht="15" hidden="false" customHeight="false" outlineLevel="0" collapsed="false">
      <c r="A24" s="3" t="s">
        <v>179</v>
      </c>
    </row>
    <row r="25" customFormat="false" ht="15" hidden="false" customHeight="false" outlineLevel="0" collapsed="false">
      <c r="A25" s="26" t="s">
        <v>180</v>
      </c>
      <c r="B25" s="27" t="s">
        <v>181</v>
      </c>
      <c r="C25" s="27" t="s">
        <v>182</v>
      </c>
      <c r="D25" s="27" t="s">
        <v>183</v>
      </c>
      <c r="E25" s="27" t="s">
        <v>184</v>
      </c>
      <c r="F25" s="27" t="s">
        <v>185</v>
      </c>
    </row>
    <row r="26" customFormat="false" ht="15" hidden="false" customHeight="false" outlineLevel="0" collapsed="false">
      <c r="A26" s="32" t="s">
        <v>186</v>
      </c>
      <c r="B26" s="33" t="n">
        <f aca="false">ROUND(1000000/60000,1)</f>
        <v>16.7</v>
      </c>
      <c r="C26" s="33" t="n">
        <f aca="false">ROUND(1250000/60000,1)</f>
        <v>20.8</v>
      </c>
      <c r="D26" s="33" t="n">
        <f aca="false">ROUND(1500000/60000,1)</f>
        <v>25</v>
      </c>
      <c r="E26" s="33" t="n">
        <f aca="false">ROUND(1750000/60000,1)</f>
        <v>29.2</v>
      </c>
      <c r="F26" s="33" t="n">
        <f aca="false">ROUND(2000000/60000,1)</f>
        <v>33.3</v>
      </c>
    </row>
    <row r="27" customFormat="false" ht="15" hidden="false" customHeight="false" outlineLevel="0" collapsed="false">
      <c r="A27" s="32" t="s">
        <v>187</v>
      </c>
      <c r="B27" s="33" t="n">
        <f aca="false">ROUND(1000000/70000,1)</f>
        <v>14.3</v>
      </c>
      <c r="C27" s="33" t="n">
        <f aca="false">ROUND(1250000/70000,1)</f>
        <v>17.9</v>
      </c>
      <c r="D27" s="33" t="n">
        <f aca="false">ROUND(1500000/70000,1)</f>
        <v>21.4</v>
      </c>
      <c r="E27" s="33" t="n">
        <f aca="false">ROUND(1750000/70000,1)</f>
        <v>25</v>
      </c>
      <c r="F27" s="33" t="n">
        <f aca="false">ROUND(2000000/70000,1)</f>
        <v>28.6</v>
      </c>
    </row>
    <row r="28" customFormat="false" ht="15" hidden="false" customHeight="false" outlineLevel="0" collapsed="false">
      <c r="A28" s="32" t="s">
        <v>188</v>
      </c>
      <c r="B28" s="33" t="n">
        <f aca="false">ROUND(1000000/80000,1)</f>
        <v>12.5</v>
      </c>
      <c r="C28" s="33" t="n">
        <f aca="false">ROUND(1250000/80000,1)</f>
        <v>15.6</v>
      </c>
      <c r="D28" s="33" t="n">
        <f aca="false">ROUND(1500000/80000,1)</f>
        <v>18.8</v>
      </c>
      <c r="E28" s="33" t="n">
        <f aca="false">ROUND(1750000/80000,1)</f>
        <v>21.9</v>
      </c>
      <c r="F28" s="34" t="n">
        <f aca="false">ROUND(2000000/80000,1)</f>
        <v>25</v>
      </c>
    </row>
    <row r="29" customFormat="false" ht="15" hidden="false" customHeight="false" outlineLevel="0" collapsed="false">
      <c r="A29" s="32" t="s">
        <v>189</v>
      </c>
      <c r="B29" s="33" t="n">
        <f aca="false">ROUND(1000000/90000,1)</f>
        <v>11.1</v>
      </c>
      <c r="C29" s="33" t="n">
        <f aca="false">ROUND(1250000/90000,1)</f>
        <v>13.9</v>
      </c>
      <c r="D29" s="33" t="n">
        <f aca="false">ROUND(1500000/90000,1)</f>
        <v>16.7</v>
      </c>
      <c r="E29" s="33" t="n">
        <f aca="false">ROUND(1750000/90000,1)</f>
        <v>19.4</v>
      </c>
      <c r="F29" s="33" t="n">
        <f aca="false">ROUND(2000000/90000,1)</f>
        <v>22.2</v>
      </c>
    </row>
    <row r="30" customFormat="false" ht="15" hidden="false" customHeight="false" outlineLevel="0" collapsed="false">
      <c r="A30" s="32" t="s">
        <v>190</v>
      </c>
      <c r="B30" s="33" t="n">
        <f aca="false">ROUND(1000000/100000,1)</f>
        <v>10</v>
      </c>
      <c r="C30" s="33" t="n">
        <f aca="false">ROUND(1250000/100000,1)</f>
        <v>12.5</v>
      </c>
      <c r="D30" s="33" t="n">
        <f aca="false">ROUND(1500000/100000,1)</f>
        <v>15</v>
      </c>
      <c r="E30" s="33" t="n">
        <f aca="false">ROUND(1750000/100000,1)</f>
        <v>17.5</v>
      </c>
      <c r="F30" s="33" t="n">
        <f aca="false">ROUND(2000000/100000,1)</f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2026-04-05T01:14:36Z</dcterms:created>
  <dc:creator>openpyxl</dc:creator>
  <dc:description/>
  <dc:language>en-US</dc:language>
  <cp:lastModifiedBy/>
  <dcterms:modified xsi:type="dcterms:W3CDTF">2026-04-05T01:14:36Z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